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tabRatio="73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'P&amp;L-Group'!$A$10:$H$37</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Company'!$A$1:$AP$50</definedName>
    <definedName name="_xlnm.Print_Area" localSheetId="6">'Balance sheet - Group'!$A$1:$AQ$55</definedName>
    <definedName name="_xlnm.Print_Area" localSheetId="8">'CF - Company'!$A$1:$BA$31</definedName>
    <definedName name="_xlnm.Print_Area" localSheetId="5">'CF-Group'!$A$1:$BC$41</definedName>
    <definedName name="_xlnm.Print_Area" localSheetId="4">'Information on Segment results'!$A$1:$I$78</definedName>
    <definedName name="_xlnm.Print_Area" localSheetId="7">'P&amp;L - Company'!$A$1:$BE$61</definedName>
    <definedName name="_xlnm.Print_Area" localSheetId="3">'P&amp;L-Group'!$A$1:$BC$72</definedName>
    <definedName name="_xlnm.Print_Area" localSheetId="11">'Production volume - month'!$A$1:$BR$24</definedName>
    <definedName name="_xlnm.Print_Area" localSheetId="10">'Production volume - quarter'!$A$1:$AZ$21</definedName>
    <definedName name="_xlnm.Print_Area" localSheetId="13">'Sales volume - month'!$A$1:$BR$22</definedName>
    <definedName name="_xlnm.Print_Area" localSheetId="12">'Sales volume - quarter'!$A$1:$AZ$22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<sst xmlns="http://schemas.openxmlformats.org/spreadsheetml/2006/main" count="1069" uniqueCount="381">
  <si>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</si>
  <si>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</si>
  <si>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</si>
  <si>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</si>
  <si>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</si>
  <si>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</si>
  <si>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</si>
  <si>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</si>
  <si>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</si>
  <si>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</si>
  <si>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</si>
  <si>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</si>
  <si>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</si>
  <si>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</si>
  <si>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</si>
  <si>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</si>
  <si>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</si>
  <si>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</si>
  <si>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</si>
  <si>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</si>
  <si>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</si>
  <si>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</si>
  <si>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</si>
  <si>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</si>
  <si>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</si>
  <si>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</si>
  <si>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</si>
  <si>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</si>
  <si>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</si>
  <si>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</si>
  <si>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1,83*</t>
  </si>
  <si>
    <t>1,80*</t>
  </si>
  <si>
    <t>3Q18</t>
  </si>
  <si>
    <t>x</t>
  </si>
  <si>
    <t xml:space="preserve"> -</t>
  </si>
  <si>
    <t>4Q18</t>
  </si>
  <si>
    <t xml:space="preserve">   Aktywa segmentu</t>
  </si>
  <si>
    <t xml:space="preserve">   Aktywa niealokowane do segmentów</t>
  </si>
  <si>
    <t>Sierra Gorda S.C.M.*</t>
  </si>
  <si>
    <t>1Q19</t>
  </si>
  <si>
    <t>2Q19</t>
  </si>
  <si>
    <t>KGHM International</t>
  </si>
  <si>
    <t>1,7</t>
  </si>
  <si>
    <t>Sierra Gorda*</t>
  </si>
  <si>
    <t>3Q19</t>
  </si>
  <si>
    <t>4Q19</t>
  </si>
  <si>
    <t>1Q20</t>
  </si>
  <si>
    <t>2Q20</t>
  </si>
  <si>
    <t>3Q20</t>
  </si>
  <si>
    <t>4Q20</t>
  </si>
  <si>
    <t>- </t>
  </si>
  <si>
    <t>1Q21</t>
  </si>
  <si>
    <t xml:space="preserve">       straty z tytułu utraty wartości inwestycji w spółki zależne</t>
  </si>
  <si>
    <t xml:space="preserve">       odwrócenie straty z tytułu utraty wartości  udzielonych pożyczek</t>
  </si>
  <si>
    <t>2Q21</t>
  </si>
  <si>
    <t>3Q21</t>
  </si>
  <si>
    <t>4Q21</t>
  </si>
  <si>
    <t>1Q22</t>
  </si>
  <si>
    <t>2Q22</t>
  </si>
  <si>
    <t>3Q22</t>
  </si>
  <si>
    <t>4Q22</t>
  </si>
  <si>
    <t>4Q2022</t>
  </si>
  <si>
    <t>1Q23</t>
  </si>
  <si>
    <t>2Q23</t>
  </si>
  <si>
    <t>3Q23</t>
  </si>
  <si>
    <r>
      <rPr>
        <b/>
        <sz val="24"/>
        <color indexed="21"/>
        <rFont val="Open Sans"/>
        <family val="2"/>
      </rPr>
      <t xml:space="preserve">KGHM Polska Miedź S.A. and the 
KGHM Polska Miedź S.A. Group </t>
    </r>
    <r>
      <rPr>
        <b/>
        <sz val="18"/>
        <color indexed="21"/>
        <rFont val="Open Sans"/>
        <family val="2"/>
      </rPr>
      <t xml:space="preserve">
</t>
    </r>
    <r>
      <rPr>
        <b/>
        <sz val="11"/>
        <rFont val="Open Sans"/>
        <family val="2"/>
      </rPr>
      <t xml:space="preserve">
</t>
    </r>
    <r>
      <rPr>
        <b/>
        <sz val="16"/>
        <rFont val="Open Sans"/>
        <family val="2"/>
      </rPr>
      <t xml:space="preserve">Basic financial data for the period from 2014 to 3Q23 </t>
    </r>
    <r>
      <rPr>
        <b/>
        <sz val="16"/>
        <color indexed="21"/>
        <rFont val="Open Sans"/>
        <family val="2"/>
      </rPr>
      <t xml:space="preserve">
</t>
    </r>
  </si>
  <si>
    <r>
      <rPr>
        <b/>
        <sz val="11"/>
        <color indexed="10"/>
        <rFont val="Open Sans"/>
        <family val="2"/>
      </rPr>
      <t xml:space="preserve">THIS SPREADSHEET HAS BEEN PREPARED SOLELY FOR INFORMATIONAL PURPOSES. THE OFFICIAL SOURCE OF FINANCIAL DATA ARE THE PERIODIC REPORTS OF KGHM Polska Miedź S.A.
</t>
    </r>
    <r>
      <rPr>
        <b/>
        <sz val="11"/>
        <rFont val="Open Sans"/>
        <family val="2"/>
      </rPr>
      <t xml:space="preserve">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r>
      <rPr>
        <b/>
        <sz val="11"/>
        <rFont val="Open Sans"/>
        <family val="2"/>
      </rPr>
      <t xml:space="preserve">
</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</si>
  <si>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</si>
  <si>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</si>
  <si>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</si>
  <si>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</si>
  <si>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</si>
  <si>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</si>
  <si>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</si>
  <si>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</si>
  <si>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</si>
  <si>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</si>
  <si>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</si>
  <si>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</si>
  <si>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</si>
  <si>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</si>
  <si>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</si>
  <si>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</si>
  <si>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</si>
  <si>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</si>
  <si>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</si>
  <si>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</si>
  <si>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</si>
  <si>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</si>
  <si>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</si>
  <si>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</si>
  <si>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</si>
  <si>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</si>
  <si>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</si>
  <si>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</si>
  <si>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</si>
  <si>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</si>
  <si>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</si>
  <si>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</si>
  <si>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</si>
  <si>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</si>
  <si>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</si>
  <si>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</si>
  <si>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</si>
  <si>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</si>
  <si>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</si>
  <si>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</si>
  <si>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</si>
  <si>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</si>
  <si>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</si>
  <si>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</si>
  <si>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</si>
  <si>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</si>
  <si>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</si>
  <si>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</si>
  <si>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</si>
  <si>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of 2018 adjusted by the change in the value of depreciation adjusting the cash cost of producing concentrate</t>
  </si>
  <si>
    <t>Other segments</t>
  </si>
  <si>
    <t>Reconciliation items to consolidated data</t>
  </si>
  <si>
    <t>Consolidated financial statements</t>
  </si>
  <si>
    <t>Elimination of data of the segment Sierra Gorda S.C.M.</t>
  </si>
  <si>
    <t>Consolidation adjustments
****</t>
  </si>
  <si>
    <t>3rd quarter 2023</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</si>
  <si>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</si>
  <si>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</si>
  <si>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</si>
  <si>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</si>
  <si>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</si>
  <si>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</si>
  <si>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Impairment losses on non-current assets</t>
  </si>
  <si>
    <t>Segment assets</t>
  </si>
  <si>
    <t>Liabilities, including:</t>
  </si>
  <si>
    <t xml:space="preserve">   Segment liabilities</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</si>
  <si>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</si>
  <si>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</si>
  <si>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</si>
  <si>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</si>
  <si>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</si>
  <si>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</si>
  <si>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</si>
  <si>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</si>
  <si>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</si>
  <si>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</si>
  <si>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</si>
  <si>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</si>
  <si>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</si>
  <si>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Adjusted EBITDA to revenues from contracts with customers. For the purposes of calculating the Group’s EBITDA margin (14%) the consolidated revenues from contracts with customers were increased by revenues from contracts with customers of the segment Sierra Gorda S.C.M.  [1 173 / (7 891 + 768) * 100] </t>
  </si>
  <si>
    <t>**** Adjustments arise from consolidation eliminations and financial data of companies unallocated to any segment</t>
  </si>
  <si>
    <t>FINANCIAL RESULTS OF REPORTING SEGMENTS
(MN PLN)</t>
  </si>
  <si>
    <t xml:space="preserve">Impairment losses on non-current assets
</t>
  </si>
  <si>
    <t>Assets, including:</t>
  </si>
  <si>
    <t xml:space="preserve">   Segment assets</t>
  </si>
  <si>
    <t xml:space="preserve">   Assets unallocated to segments</t>
  </si>
  <si>
    <t>Cash expenditures on property, plant and equipment and intangible assets</t>
  </si>
  <si>
    <t>C1 cash cost of producing copper in concentrate (USD/lb   PLN/lb)**</t>
  </si>
  <si>
    <t xml:space="preserve">***Adjusted EBITDA to revenues from contracts with customers. For the purposes of calculating the Group’s EBITDA margin (19%) the consolidated revenues from contracts with customers were increased by revenues from contracts with customers of the segment Sierra Gorda S.C.M. [1 652 / (7 770 + 893) * 100] </t>
  </si>
  <si>
    <t>2.97    12.28</t>
  </si>
  <si>
    <t>5.40   22.33</t>
  </si>
  <si>
    <t>1.69    6.99</t>
  </si>
  <si>
    <t>2.38    11.22</t>
  </si>
  <si>
    <t>2.07   9.77</t>
  </si>
  <si>
    <t>1.68    7.93</t>
  </si>
  <si>
    <t>As at 30.09.2023</t>
  </si>
  <si>
    <t>As at 31.12.2022</t>
  </si>
  <si>
    <t>3rd quarter 2022</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</si>
  <si>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</si>
  <si>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</si>
  <si>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</si>
  <si>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</si>
  <si>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</si>
  <si>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</si>
  <si>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</si>
  <si>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</si>
  <si>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</si>
  <si>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</si>
  <si>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</si>
  <si>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</si>
  <si>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</si>
  <si>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</si>
  <si>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</si>
  <si>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Repayment of loans granted to a joint venture</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</si>
  <si>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</si>
  <si>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</si>
  <si>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</si>
  <si>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</si>
  <si>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</si>
  <si>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</si>
  <si>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</si>
  <si>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</si>
  <si>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</si>
  <si>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</si>
  <si>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</si>
  <si>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</si>
  <si>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</si>
  <si>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</si>
  <si>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</si>
  <si>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</si>
  <si>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</si>
  <si>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</si>
  <si>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</si>
  <si>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</si>
  <si>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</si>
  <si>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</si>
  <si>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</si>
  <si>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</si>
  <si>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</si>
  <si>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</si>
  <si>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</si>
  <si>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</si>
  <si>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</si>
  <si>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</si>
  <si>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</si>
  <si>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</si>
  <si>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</si>
  <si>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Involvement in joint ventures – loans granted</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</si>
  <si>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</si>
  <si>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</si>
  <si>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</si>
  <si>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</si>
  <si>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</si>
  <si>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</si>
  <si>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</si>
  <si>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</si>
  <si>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</si>
  <si>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</si>
  <si>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</si>
  <si>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</si>
  <si>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</si>
  <si>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</si>
  <si>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</si>
  <si>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</si>
  <si>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</si>
  <si>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</si>
  <si>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</si>
  <si>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</si>
  <si>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</si>
  <si>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</si>
  <si>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</si>
  <si>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</si>
  <si>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</si>
  <si>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</si>
  <si>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</si>
  <si>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</si>
  <si>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</si>
  <si>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</si>
  <si>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</si>
  <si>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</si>
  <si>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</si>
  <si>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</si>
  <si>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Bank fees and charges on borrowings</t>
  </si>
  <si>
    <t>Other finance income and (costs)</t>
  </si>
  <si>
    <r>
      <t xml:space="preserve">EBITDA  </t>
    </r>
    <r>
      <rPr>
        <sz val="7"/>
        <rFont val="Open Sans"/>
        <family val="2"/>
      </rPr>
      <t>(EBIT + depreciation/amortisation)</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</si>
  <si>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</si>
  <si>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</si>
  <si>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</si>
  <si>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</si>
  <si>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</si>
  <si>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</si>
  <si>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</si>
  <si>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</si>
  <si>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</si>
  <si>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</si>
  <si>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</si>
  <si>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</si>
  <si>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</si>
  <si>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</si>
  <si>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</si>
  <si>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</si>
  <si>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</si>
  <si>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</si>
  <si>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</si>
  <si>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</si>
  <si>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</si>
  <si>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</si>
  <si>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</si>
  <si>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</si>
  <si>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</si>
  <si>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</si>
  <si>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</si>
  <si>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</si>
  <si>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</si>
  <si>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</si>
  <si>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</si>
  <si>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</si>
  <si>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</si>
  <si>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</si>
  <si>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</si>
  <si>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</si>
  <si>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</si>
  <si>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</si>
  <si>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</si>
  <si>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</si>
  <si>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</si>
  <si>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</si>
  <si>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****production suspended in Q4 2019</t>
  </si>
  <si>
    <t>Change  (2016 to 2015)</t>
  </si>
  <si>
    <t>Change  (2017 to 2016)</t>
  </si>
  <si>
    <t>Change  (2018 to 2017)</t>
  </si>
  <si>
    <t>Change  (2019 to 2018)</t>
  </si>
  <si>
    <t>Change    (2020 to 2019)</t>
  </si>
  <si>
    <t>Change      (2021 to 2020)</t>
  </si>
  <si>
    <t>Change     (2022 to 2021)</t>
  </si>
  <si>
    <t>Change  (3Q23 to 3Q22)</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</si>
  <si>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</si>
  <si>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</si>
  <si>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</si>
  <si>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</si>
  <si>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</si>
  <si>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</si>
  <si>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</si>
  <si>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Nov-19</t>
  </si>
  <si>
    <t>Dec-19</t>
  </si>
  <si>
    <t>Jan-20</t>
  </si>
  <si>
    <t>Apr-20</t>
  </si>
  <si>
    <t>May-20</t>
  </si>
  <si>
    <t>Jun-20</t>
  </si>
  <si>
    <t>Jul-20</t>
  </si>
  <si>
    <t>Aug-20</t>
  </si>
  <si>
    <t>Sep-20</t>
  </si>
  <si>
    <t>Oct-20</t>
  </si>
  <si>
    <t>Nov-20</t>
  </si>
  <si>
    <t>Dec-20</t>
  </si>
  <si>
    <t>Jan-21</t>
  </si>
  <si>
    <t>Feb-21</t>
  </si>
  <si>
    <t>Apr-21</t>
  </si>
  <si>
    <t>May-21</t>
  </si>
  <si>
    <t>Jun-21</t>
  </si>
  <si>
    <t>Jul-21</t>
  </si>
  <si>
    <t>Aug-21</t>
  </si>
  <si>
    <t>Sep-21</t>
  </si>
  <si>
    <t>Oct-21</t>
  </si>
  <si>
    <t>Nov-21</t>
  </si>
  <si>
    <t>Dec-21</t>
  </si>
  <si>
    <t>Jan-22</t>
  </si>
  <si>
    <t>Feb-22</t>
  </si>
  <si>
    <t>Apr-22</t>
  </si>
  <si>
    <t>May-22</t>
  </si>
  <si>
    <t>Jun-22</t>
  </si>
  <si>
    <t>Jul-22</t>
  </si>
  <si>
    <t>Aug-22</t>
  </si>
  <si>
    <t>Sep-22</t>
  </si>
  <si>
    <t>Oct-22</t>
  </si>
  <si>
    <t>Nov-22</t>
  </si>
  <si>
    <t>Dec-22</t>
  </si>
  <si>
    <t>Jan-23</t>
  </si>
  <si>
    <t>Feb-23</t>
  </si>
  <si>
    <t>Apr-23</t>
  </si>
  <si>
    <t>May-23</t>
  </si>
  <si>
    <t>Jun-23</t>
  </si>
  <si>
    <t>Jul-23</t>
  </si>
  <si>
    <t>Aug-23</t>
  </si>
  <si>
    <t>Sep-23</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</si>
  <si>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</si>
  <si>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</si>
  <si>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</si>
  <si>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</si>
  <si>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</si>
  <si>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</si>
  <si>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</si>
  <si>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</si>
  <si>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</si>
  <si>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</si>
  <si>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(2016 to 2015)</t>
  </si>
  <si>
    <t>Change   (2017 to 2016)</t>
  </si>
  <si>
    <t>Change   (2018 to 2017)</t>
  </si>
  <si>
    <t>Change   (2019 to 2018)</t>
  </si>
  <si>
    <t>Change                             (2020 to 2019)</t>
  </si>
  <si>
    <t>Change                             (2021 to 2020)</t>
  </si>
  <si>
    <t>Change                             (2022 to 2021)</t>
  </si>
  <si>
    <t>Change   (3Q23 to 3Q22)</t>
  </si>
  <si>
    <t>Monthly preliminary sales of the KGHM Polska Miedź S.A. Group (pursuant to published production-sales reports)</t>
  </si>
  <si>
    <t>Copper (kt)</t>
  </si>
  <si>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</si>
  <si>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Gains / (losses) from changes in the fair value of financial assets measured at fair value through profit or loss**</t>
  </si>
  <si>
    <t>**NA - not applicable - items which were not measured in accordance with principles arising from the application, from 1 January 2018, of IFRS 9</t>
  </si>
  <si>
    <t>Depreciation/amortisation recognized in expenses by nature*</t>
  </si>
  <si>
    <t>(24%)</t>
  </si>
  <si>
    <t>1Q23*</t>
  </si>
  <si>
    <t>2Q23*</t>
  </si>
  <si>
    <t>3Q23*</t>
  </si>
  <si>
    <r>
      <t xml:space="preserve">* As at 30 September 2023 the Company </t>
    </r>
    <r>
      <rPr>
        <b/>
        <sz val="7"/>
        <rFont val="Open Sans"/>
        <family val="2"/>
      </rPr>
      <t>redefined adjusted EBITDA</t>
    </r>
    <r>
      <rPr>
        <sz val="7"/>
        <rFont val="Open Sans"/>
        <family val="2"/>
      </rPr>
      <t>, reflecting in the calculation methodology depreciation/amortisation recognized in expenses by nature (previously depreciation/amortisation was recognized in profit or loss).</t>
    </r>
  </si>
</sst>
</file>

<file path=xl/styles.xml><?xml version="1.0" encoding="utf-8"?>
<styleSheet xmlns="http://schemas.openxmlformats.org/spreadsheetml/2006/main">
  <numFmts count="7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0.0000%"/>
    <numFmt numFmtId="222" formatCode="0.00000%"/>
    <numFmt numFmtId="223" formatCode="0%;\(0%\);\-"/>
    <numFmt numFmtId="224" formatCode="0%;\(0%\)"/>
    <numFmt numFmtId="225" formatCode="[$-409]mmm/yy;@"/>
  </numFmts>
  <fonts count="127">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name val="Arial"/>
      <family val="2"/>
    </font>
    <font>
      <sz val="8"/>
      <color indexed="10"/>
      <name val="Open Sans"/>
      <family val="2"/>
    </font>
    <font>
      <b/>
      <i/>
      <sz val="11"/>
      <name val="Open Sans"/>
      <family val="2"/>
    </font>
    <font>
      <b/>
      <sz val="9"/>
      <name val="Open Sans"/>
      <family val="2"/>
    </font>
    <font>
      <b/>
      <sz val="7"/>
      <color indexed="21"/>
      <name val="Open Sans"/>
      <family val="2"/>
    </font>
    <font>
      <b/>
      <u val="single"/>
      <sz val="7"/>
      <color indexed="21"/>
      <name val="Open Sans"/>
      <family val="2"/>
    </font>
    <font>
      <sz val="7"/>
      <color indexed="8"/>
      <name val="Open Sans"/>
      <family val="2"/>
    </font>
    <font>
      <sz val="7"/>
      <color indexed="60"/>
      <name val="Open Sans"/>
      <family val="2"/>
    </font>
    <font>
      <sz val="7"/>
      <color indexed="9"/>
      <name val="Open Sans"/>
      <family val="2"/>
    </font>
    <font>
      <b/>
      <sz val="7"/>
      <color indexed="9"/>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b/>
      <sz val="7"/>
      <color indexed="60"/>
      <name val="Open Sans"/>
      <family val="2"/>
    </font>
    <font>
      <sz val="7"/>
      <color indexed="21"/>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b/>
      <u val="single"/>
      <sz val="7"/>
      <color rgb="FF00A082"/>
      <name val="Open Sans"/>
      <family val="2"/>
    </font>
    <font>
      <sz val="7"/>
      <color rgb="FF000000"/>
      <name val="Open Sans"/>
      <family val="2"/>
    </font>
    <font>
      <sz val="7"/>
      <color rgb="FF993300"/>
      <name val="Open Sans"/>
      <family val="2"/>
    </font>
    <font>
      <sz val="7"/>
      <color theme="0"/>
      <name val="Open Sans"/>
      <family val="2"/>
    </font>
    <font>
      <b/>
      <sz val="7"/>
      <color theme="0"/>
      <name val="Open Sans"/>
      <family val="2"/>
    </font>
    <font>
      <sz val="7"/>
      <color theme="1"/>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7"/>
      <color rgb="FF000000"/>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b/>
      <sz val="7"/>
      <color rgb="FF993300"/>
      <name val="Open Sans"/>
      <family val="2"/>
    </font>
    <font>
      <sz val="7"/>
      <color rgb="FF00A082"/>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3">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right/>
      <top/>
      <bottom style="thin">
        <color theme="0" tint="-0.4999699890613556"/>
      </bottom>
    </border>
    <border>
      <left style="thin">
        <color theme="0" tint="-0.3499799966812134"/>
      </left>
      <right>
        <color indexed="63"/>
      </right>
      <top style="thin">
        <color theme="0" tint="-0.3499799966812134"/>
      </top>
      <bottom>
        <color indexed="63"/>
      </bottom>
    </border>
    <border>
      <left style="thin">
        <color theme="0" tint="-0.3499799966812134"/>
      </left>
      <right/>
      <top>
        <color indexed="63"/>
      </top>
      <bottom style="thin">
        <color theme="0" tint="-0.3499799966812134"/>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3499799966812134"/>
      </top>
      <bottom style="thin">
        <color theme="0"/>
      </bottom>
    </border>
    <border>
      <left>
        <color indexed="63"/>
      </left>
      <right style="thin">
        <color theme="0" tint="-0.2499399930238723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92" fillId="0" borderId="0">
      <alignment/>
      <protection/>
    </xf>
    <xf numFmtId="0" fontId="60" fillId="0" borderId="0">
      <alignment/>
      <protection/>
    </xf>
    <xf numFmtId="0" fontId="0" fillId="0" borderId="0">
      <alignment/>
      <protection/>
    </xf>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2"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72">
    <xf numFmtId="0" fontId="0" fillId="0" borderId="0" xfId="0" applyAlignment="1">
      <alignment/>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3" fillId="0" borderId="0" xfId="115" applyNumberFormat="1" applyFont="1" applyFill="1" applyBorder="1" applyAlignment="1">
      <alignment vertical="center"/>
      <protection/>
    </xf>
    <xf numFmtId="0" fontId="93" fillId="0" borderId="0" xfId="115" applyFont="1" applyFill="1" applyBorder="1" applyAlignment="1">
      <alignment horizontal="center" wrapText="1"/>
      <protection/>
    </xf>
    <xf numFmtId="0" fontId="93" fillId="0" borderId="0" xfId="115" applyFont="1" applyFill="1" applyBorder="1" applyAlignment="1">
      <alignment/>
      <protection/>
    </xf>
    <xf numFmtId="0" fontId="46" fillId="0" borderId="0" xfId="115" applyFont="1" applyFill="1" applyBorder="1">
      <alignment/>
      <protection/>
    </xf>
    <xf numFmtId="0" fontId="93" fillId="0" borderId="0" xfId="115" applyFont="1" applyBorder="1" applyAlignment="1">
      <alignment/>
      <protection/>
    </xf>
    <xf numFmtId="0" fontId="45" fillId="0" borderId="17" xfId="115" applyFont="1" applyFill="1" applyBorder="1" applyAlignment="1">
      <alignment horizontal="center" wrapText="1"/>
      <protection/>
    </xf>
    <xf numFmtId="0" fontId="93" fillId="0" borderId="17" xfId="115" applyFont="1" applyFill="1" applyBorder="1" applyAlignment="1">
      <alignment horizontal="center" wrapText="1"/>
      <protection/>
    </xf>
    <xf numFmtId="0" fontId="45"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94" fillId="0" borderId="0" xfId="115" applyFont="1" applyFill="1" applyBorder="1" applyAlignment="1">
      <alignment vertical="center" wrapText="1"/>
      <protection/>
    </xf>
    <xf numFmtId="0" fontId="45" fillId="0" borderId="0" xfId="115" applyFont="1" applyFill="1" applyBorder="1" applyAlignment="1">
      <alignment vertical="center"/>
      <protection/>
    </xf>
    <xf numFmtId="9" fontId="45" fillId="0" borderId="18" xfId="129" applyFont="1" applyFill="1" applyBorder="1" applyAlignment="1">
      <alignment horizontal="right" vertical="center" indent="1"/>
    </xf>
    <xf numFmtId="9" fontId="44" fillId="0" borderId="18" xfId="129"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9" applyFont="1" applyFill="1" applyBorder="1" applyAlignment="1">
      <alignment horizontal="right" vertical="center" indent="1"/>
    </xf>
    <xf numFmtId="4" fontId="44" fillId="0" borderId="18"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178" fontId="95" fillId="0" borderId="18" xfId="115" applyNumberFormat="1" applyFont="1" applyFill="1" applyBorder="1" applyAlignment="1">
      <alignment horizontal="right" vertical="center" indent="1"/>
      <protection/>
    </xf>
    <xf numFmtId="0" fontId="44" fillId="0" borderId="0" xfId="115" applyFont="1" applyFill="1" applyBorder="1">
      <alignment/>
      <protection/>
    </xf>
    <xf numFmtId="0" fontId="44" fillId="0" borderId="0" xfId="115" applyFont="1" applyFill="1" applyBorder="1" applyAlignment="1">
      <alignment vertical="center"/>
      <protection/>
    </xf>
    <xf numFmtId="0" fontId="45" fillId="0" borderId="20" xfId="115" applyFont="1" applyFill="1" applyBorder="1" applyAlignment="1">
      <alignment/>
      <protection/>
    </xf>
    <xf numFmtId="0" fontId="44" fillId="0" borderId="20" xfId="115" applyFont="1" applyFill="1" applyBorder="1" applyAlignment="1">
      <alignment/>
      <protection/>
    </xf>
    <xf numFmtId="9" fontId="44" fillId="0" borderId="20" xfId="129" applyFont="1" applyFill="1" applyBorder="1" applyAlignment="1">
      <alignment/>
    </xf>
    <xf numFmtId="0" fontId="96" fillId="0" borderId="0" xfId="115" applyFont="1" applyFill="1" applyBorder="1">
      <alignment/>
      <protection/>
    </xf>
    <xf numFmtId="178" fontId="44" fillId="0" borderId="0" xfId="115" applyNumberFormat="1" applyFont="1" applyFill="1" applyBorder="1">
      <alignment/>
      <protection/>
    </xf>
    <xf numFmtId="178" fontId="97" fillId="0" borderId="0"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9" applyFont="1" applyFill="1" applyBorder="1" applyAlignment="1">
      <alignment horizontal="right" vertical="center" indent="1"/>
    </xf>
    <xf numFmtId="9" fontId="44" fillId="0" borderId="21" xfId="129"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0" fontId="98" fillId="0" borderId="17" xfId="115" applyFont="1" applyFill="1" applyBorder="1" applyAlignment="1">
      <alignment horizontal="center" wrapText="1"/>
      <protection/>
    </xf>
    <xf numFmtId="9" fontId="45" fillId="0" borderId="20" xfId="129" applyFont="1" applyFill="1" applyBorder="1" applyAlignment="1">
      <alignment vertical="center" wrapText="1"/>
    </xf>
    <xf numFmtId="178" fontId="47" fillId="48" borderId="22"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4"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4"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9" fillId="0" borderId="0" xfId="115" applyFont="1" applyFill="1" applyBorder="1">
      <alignment/>
      <protection/>
    </xf>
    <xf numFmtId="178" fontId="95" fillId="0" borderId="21" xfId="115" applyNumberFormat="1" applyFont="1" applyFill="1" applyBorder="1" applyAlignment="1">
      <alignment horizontal="right" vertical="center" indent="1"/>
      <protection/>
    </xf>
    <xf numFmtId="0" fontId="100" fillId="0" borderId="0" xfId="115" applyFont="1" applyFill="1">
      <alignment/>
      <protection/>
    </xf>
    <xf numFmtId="0" fontId="0" fillId="0" borderId="0" xfId="115" applyFill="1">
      <alignment/>
      <protection/>
    </xf>
    <xf numFmtId="178" fontId="97" fillId="0" borderId="19" xfId="115" applyNumberFormat="1" applyFont="1" applyFill="1" applyBorder="1" applyAlignment="1">
      <alignment horizontal="right" vertical="center" indent="1"/>
      <protection/>
    </xf>
    <xf numFmtId="0" fontId="101" fillId="0" borderId="0" xfId="115" applyFont="1" applyFill="1">
      <alignment/>
      <protection/>
    </xf>
    <xf numFmtId="0" fontId="100" fillId="0" borderId="0" xfId="115" applyFont="1" applyFill="1" applyBorder="1">
      <alignment/>
      <protection/>
    </xf>
    <xf numFmtId="0" fontId="93" fillId="0" borderId="0" xfId="115" applyFont="1" applyFill="1" applyBorder="1" applyAlignment="1">
      <alignment vertical="center" wrapText="1"/>
      <protection/>
    </xf>
    <xf numFmtId="0" fontId="102" fillId="0" borderId="0" xfId="115" applyFont="1" applyFill="1" applyBorder="1" applyAlignment="1">
      <alignment vertical="center" wrapText="1"/>
      <protection/>
    </xf>
    <xf numFmtId="0" fontId="103"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2" fillId="0" borderId="0" xfId="115" applyNumberFormat="1" applyFont="1" applyFill="1" applyBorder="1" applyAlignment="1">
      <alignment horizontal="center" wrapText="1"/>
      <protection/>
    </xf>
    <xf numFmtId="176" fontId="102" fillId="0" borderId="18" xfId="115" applyNumberFormat="1" applyFont="1" applyFill="1" applyBorder="1" applyAlignment="1">
      <alignment horizontal="center" wrapText="1"/>
      <protection/>
    </xf>
    <xf numFmtId="0" fontId="99" fillId="0" borderId="0" xfId="115" applyFont="1" applyFill="1" applyBorder="1" applyAlignment="1">
      <alignment horizontal="left" vertical="center" wrapText="1" indent="2"/>
      <protection/>
    </xf>
    <xf numFmtId="176" fontId="99" fillId="0" borderId="0" xfId="115" applyNumberFormat="1" applyFont="1" applyFill="1" applyBorder="1" applyAlignment="1">
      <alignment horizontal="right"/>
      <protection/>
    </xf>
    <xf numFmtId="176" fontId="99" fillId="0" borderId="0" xfId="115" applyNumberFormat="1" applyFont="1" applyFill="1" applyBorder="1" applyAlignment="1">
      <alignment horizontal="right" vertical="center" indent="1"/>
      <protection/>
    </xf>
    <xf numFmtId="176" fontId="99" fillId="0" borderId="18" xfId="115" applyNumberFormat="1" applyFont="1" applyFill="1" applyBorder="1" applyAlignment="1">
      <alignment horizontal="right" vertical="center" indent="1"/>
      <protection/>
    </xf>
    <xf numFmtId="0" fontId="99" fillId="0" borderId="0" xfId="115" applyFont="1" applyFill="1" applyBorder="1" applyAlignment="1">
      <alignment vertical="center" wrapText="1"/>
      <protection/>
    </xf>
    <xf numFmtId="176" fontId="102" fillId="0" borderId="0" xfId="115" applyNumberFormat="1" applyFont="1" applyFill="1" applyBorder="1" applyAlignment="1">
      <alignment horizontal="right"/>
      <protection/>
    </xf>
    <xf numFmtId="176" fontId="102" fillId="0" borderId="0" xfId="115" applyNumberFormat="1" applyFont="1" applyFill="1" applyBorder="1" applyAlignment="1">
      <alignment horizontal="right" vertical="center" indent="1"/>
      <protection/>
    </xf>
    <xf numFmtId="176" fontId="102"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4"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5"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2" fillId="0" borderId="0" xfId="115" applyNumberFormat="1" applyFont="1" applyFill="1" applyBorder="1" applyAlignment="1">
      <alignment horizontal="right" vertical="top"/>
      <protection/>
    </xf>
    <xf numFmtId="176" fontId="102" fillId="0" borderId="17" xfId="115" applyNumberFormat="1" applyFont="1" applyFill="1" applyBorder="1" applyAlignment="1">
      <alignment horizontal="right" vertical="center" indent="1"/>
      <protection/>
    </xf>
    <xf numFmtId="176" fontId="99" fillId="0" borderId="0" xfId="115" applyNumberFormat="1" applyFont="1" applyFill="1" applyBorder="1" applyAlignment="1">
      <alignment/>
      <protection/>
    </xf>
    <xf numFmtId="178" fontId="99" fillId="0" borderId="0" xfId="115" applyNumberFormat="1" applyFont="1" applyFill="1" applyBorder="1">
      <alignment/>
      <protection/>
    </xf>
    <xf numFmtId="0" fontId="93"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3" fillId="0" borderId="0" xfId="115" applyFont="1" applyFill="1" applyBorder="1" applyAlignment="1">
      <alignment horizontal="center" vertical="center" wrapText="1"/>
      <protection/>
    </xf>
    <xf numFmtId="0" fontId="99" fillId="0" borderId="0" xfId="115" applyFont="1" applyBorder="1">
      <alignment/>
      <protection/>
    </xf>
    <xf numFmtId="0" fontId="95" fillId="0" borderId="0" xfId="115" applyFont="1" applyBorder="1" applyAlignment="1">
      <alignment vertical="center" wrapText="1"/>
      <protection/>
    </xf>
    <xf numFmtId="3" fontId="95" fillId="0" borderId="24" xfId="115" applyNumberFormat="1" applyFont="1" applyBorder="1" applyAlignment="1">
      <alignment horizontal="right" vertical="center" indent="1"/>
      <protection/>
    </xf>
    <xf numFmtId="3" fontId="95" fillId="0" borderId="17" xfId="115" applyNumberFormat="1" applyFont="1" applyBorder="1" applyAlignment="1">
      <alignment horizontal="right" vertical="center" indent="1"/>
      <protection/>
    </xf>
    <xf numFmtId="3" fontId="97"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4" xfId="115" applyNumberFormat="1" applyFont="1" applyFill="1" applyBorder="1" applyAlignment="1">
      <alignment horizontal="right" vertical="center" indent="1"/>
      <protection/>
    </xf>
    <xf numFmtId="0" fontId="95" fillId="0" borderId="18" xfId="115" applyFont="1" applyBorder="1" applyAlignment="1">
      <alignment vertical="center" wrapText="1"/>
      <protection/>
    </xf>
    <xf numFmtId="4" fontId="95" fillId="0" borderId="21" xfId="115" applyNumberFormat="1" applyFont="1" applyBorder="1" applyAlignment="1">
      <alignment horizontal="right" vertical="center" indent="1"/>
      <protection/>
    </xf>
    <xf numFmtId="4" fontId="95" fillId="0" borderId="18" xfId="115" applyNumberFormat="1" applyFont="1" applyBorder="1" applyAlignment="1">
      <alignment horizontal="right" vertical="center" indent="1"/>
      <protection/>
    </xf>
    <xf numFmtId="4" fontId="97"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5" fillId="47" borderId="18" xfId="115" applyNumberFormat="1" applyFont="1" applyFill="1" applyBorder="1" applyAlignment="1">
      <alignment horizontal="right" vertical="center" indent="1"/>
      <protection/>
    </xf>
    <xf numFmtId="0" fontId="93"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0" fontId="45" fillId="47" borderId="18" xfId="115" applyFont="1" applyFill="1" applyBorder="1" applyAlignment="1">
      <alignment vertical="center"/>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0" fontId="93" fillId="0" borderId="0" xfId="115" applyFont="1" applyBorder="1" applyAlignment="1">
      <alignment vertical="center" wrapText="1"/>
      <protection/>
    </xf>
    <xf numFmtId="0" fontId="102" fillId="0" borderId="17" xfId="115" applyFont="1" applyBorder="1" applyAlignment="1">
      <alignment horizontal="center"/>
      <protection/>
    </xf>
    <xf numFmtId="0" fontId="102"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5" fillId="0" borderId="21"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indent="1"/>
      <protection/>
    </xf>
    <xf numFmtId="178" fontId="95" fillId="0" borderId="0" xfId="115" applyNumberFormat="1" applyFont="1" applyBorder="1" applyAlignment="1">
      <alignment horizontal="right" vertical="center" indent="1"/>
      <protection/>
    </xf>
    <xf numFmtId="178" fontId="95" fillId="47" borderId="21" xfId="115" applyNumberFormat="1" applyFont="1" applyFill="1" applyBorder="1" applyAlignment="1">
      <alignment horizontal="right" vertical="center" indent="1"/>
      <protection/>
    </xf>
    <xf numFmtId="178" fontId="95" fillId="47" borderId="18" xfId="115" applyNumberFormat="1" applyFont="1" applyFill="1" applyBorder="1" applyAlignment="1">
      <alignment horizontal="right" vertical="center" indent="1"/>
      <protection/>
    </xf>
    <xf numFmtId="178" fontId="95" fillId="0" borderId="0" xfId="115" applyNumberFormat="1" applyFont="1" applyFill="1" applyBorder="1" applyAlignment="1">
      <alignment horizontal="right" vertical="center" indent="1"/>
      <protection/>
    </xf>
    <xf numFmtId="178" fontId="106" fillId="0" borderId="21" xfId="115" applyNumberFormat="1" applyFont="1" applyBorder="1" applyAlignment="1">
      <alignment horizontal="right" vertical="center" indent="1"/>
      <protection/>
    </xf>
    <xf numFmtId="178" fontId="106" fillId="0" borderId="18" xfId="115" applyNumberFormat="1" applyFont="1" applyBorder="1" applyAlignment="1">
      <alignment horizontal="right" vertical="center" indent="1"/>
      <protection/>
    </xf>
    <xf numFmtId="178" fontId="106" fillId="0" borderId="0" xfId="115" applyNumberFormat="1" applyFont="1" applyBorder="1" applyAlignment="1">
      <alignment horizontal="right" vertical="center" indent="1"/>
      <protection/>
    </xf>
    <xf numFmtId="178" fontId="95" fillId="0" borderId="18" xfId="115" applyNumberFormat="1" applyFont="1" applyBorder="1" applyAlignment="1">
      <alignment horizontal="right" vertical="center" wrapText="1" indent="1"/>
      <protection/>
    </xf>
    <xf numFmtId="0" fontId="101"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9" applyFont="1" applyFill="1" applyBorder="1" applyAlignment="1">
      <alignment horizontal="right" vertical="center" indent="1"/>
    </xf>
    <xf numFmtId="9" fontId="44" fillId="47" borderId="18" xfId="129"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pplyBorder="1">
      <alignment/>
      <protection/>
    </xf>
    <xf numFmtId="178" fontId="0" fillId="0" borderId="0" xfId="115" applyNumberFormat="1" applyFont="1" applyFill="1" applyBorder="1">
      <alignment/>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6" fillId="0" borderId="0" xfId="115" applyNumberFormat="1" applyFont="1" applyFill="1" applyBorder="1">
      <alignment/>
      <protection/>
    </xf>
    <xf numFmtId="3" fontId="93"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6" fillId="47" borderId="0" xfId="115" applyFont="1" applyFill="1">
      <alignment/>
      <protection/>
    </xf>
    <xf numFmtId="0" fontId="93" fillId="47" borderId="17" xfId="0" applyFont="1" applyFill="1" applyBorder="1" applyAlignment="1">
      <alignment horizontal="center" vertical="center" wrapText="1"/>
    </xf>
    <xf numFmtId="0" fontId="99" fillId="47" borderId="0" xfId="115" applyFont="1" applyFill="1" applyBorder="1">
      <alignment/>
      <protection/>
    </xf>
    <xf numFmtId="0" fontId="101" fillId="47" borderId="0" xfId="115" applyFont="1" applyFill="1">
      <alignment/>
      <protection/>
    </xf>
    <xf numFmtId="3" fontId="44" fillId="47" borderId="0" xfId="115" applyNumberFormat="1" applyFont="1" applyFill="1" applyBorder="1">
      <alignment/>
      <protection/>
    </xf>
    <xf numFmtId="3" fontId="96" fillId="47" borderId="0" xfId="115" applyNumberFormat="1" applyFont="1" applyFill="1" applyBorder="1">
      <alignment/>
      <protection/>
    </xf>
    <xf numFmtId="3" fontId="93" fillId="47" borderId="17" xfId="115" applyNumberFormat="1" applyFont="1" applyFill="1" applyBorder="1" applyAlignment="1">
      <alignment horizontal="center" vertical="center" wrapText="1"/>
      <protection/>
    </xf>
    <xf numFmtId="0" fontId="107" fillId="0" borderId="0" xfId="0" applyFont="1" applyFill="1" applyBorder="1" applyAlignment="1">
      <alignment horizontal="center" vertical="center" wrapText="1" shrinkToFit="1"/>
    </xf>
    <xf numFmtId="0" fontId="108" fillId="47" borderId="0" xfId="115" applyFont="1" applyFill="1" applyBorder="1" applyAlignment="1">
      <alignment horizontal="center" wrapText="1"/>
      <protection/>
    </xf>
    <xf numFmtId="0" fontId="108" fillId="47" borderId="17" xfId="115" applyFont="1" applyFill="1" applyBorder="1" applyAlignment="1">
      <alignment horizontal="center" wrapText="1"/>
      <protection/>
    </xf>
    <xf numFmtId="0" fontId="109" fillId="0" borderId="18" xfId="0" applyFont="1" applyFill="1" applyBorder="1" applyAlignment="1">
      <alignment horizontal="right"/>
    </xf>
    <xf numFmtId="0" fontId="109" fillId="0" borderId="19" xfId="0" applyFont="1" applyFill="1" applyBorder="1" applyAlignment="1">
      <alignment horizontal="right"/>
    </xf>
    <xf numFmtId="0" fontId="109" fillId="0" borderId="0" xfId="0" applyFont="1" applyFill="1" applyBorder="1" applyAlignment="1">
      <alignment/>
    </xf>
    <xf numFmtId="187" fontId="109" fillId="0" borderId="17" xfId="0" applyNumberFormat="1" applyFont="1" applyFill="1" applyBorder="1" applyAlignment="1">
      <alignment horizontal="right"/>
    </xf>
    <xf numFmtId="187" fontId="109" fillId="0" borderId="0" xfId="0" applyNumberFormat="1" applyFont="1" applyFill="1" applyBorder="1" applyAlignment="1">
      <alignment horizontal="right" wrapText="1"/>
    </xf>
    <xf numFmtId="187" fontId="109" fillId="0" borderId="21" xfId="0" applyNumberFormat="1" applyFont="1" applyFill="1" applyBorder="1" applyAlignment="1">
      <alignment horizontal="right"/>
    </xf>
    <xf numFmtId="9" fontId="109" fillId="0" borderId="17" xfId="129" applyNumberFormat="1" applyFont="1" applyFill="1" applyBorder="1" applyAlignment="1">
      <alignment horizontal="right"/>
    </xf>
    <xf numFmtId="9" fontId="109" fillId="0" borderId="0" xfId="129" applyNumberFormat="1" applyFont="1" applyFill="1" applyBorder="1" applyAlignment="1">
      <alignment horizontal="right"/>
    </xf>
    <xf numFmtId="9" fontId="109" fillId="0" borderId="0" xfId="129" applyFont="1" applyFill="1" applyBorder="1" applyAlignment="1">
      <alignment horizontal="right"/>
    </xf>
    <xf numFmtId="9" fontId="109"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9" applyNumberFormat="1" applyFont="1" applyFill="1" applyBorder="1" applyAlignment="1">
      <alignment horizontal="right"/>
    </xf>
    <xf numFmtId="187" fontId="109"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109"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109" fillId="0" borderId="0" xfId="0" applyNumberFormat="1" applyFont="1" applyFill="1" applyBorder="1" applyAlignment="1">
      <alignment horizontal="right"/>
    </xf>
    <xf numFmtId="187" fontId="109" fillId="0" borderId="0" xfId="0" applyNumberFormat="1" applyFont="1" applyFill="1" applyBorder="1" applyAlignment="1">
      <alignment horizontal="right" vertical="center"/>
    </xf>
    <xf numFmtId="187" fontId="109" fillId="0" borderId="18" xfId="0" applyNumberFormat="1" applyFont="1" applyFill="1" applyBorder="1" applyAlignment="1">
      <alignment horizontal="right"/>
    </xf>
    <xf numFmtId="9" fontId="109" fillId="0" borderId="18" xfId="129" applyNumberFormat="1" applyFont="1" applyFill="1" applyBorder="1" applyAlignment="1">
      <alignment horizontal="right"/>
    </xf>
    <xf numFmtId="9" fontId="109" fillId="0" borderId="0" xfId="129" applyFont="1" applyFill="1" applyBorder="1" applyAlignment="1">
      <alignment horizontal="right" vertical="center"/>
    </xf>
    <xf numFmtId="187" fontId="47" fillId="47" borderId="0" xfId="0" applyNumberFormat="1" applyFont="1" applyFill="1" applyBorder="1" applyAlignment="1">
      <alignment horizontal="right"/>
    </xf>
    <xf numFmtId="188" fontId="109" fillId="0" borderId="18" xfId="129" applyNumberFormat="1" applyFont="1" applyFill="1" applyBorder="1" applyAlignment="1">
      <alignment horizontal="right"/>
    </xf>
    <xf numFmtId="0" fontId="51" fillId="0" borderId="0" xfId="0" applyFont="1" applyAlignment="1">
      <alignment/>
    </xf>
    <xf numFmtId="0" fontId="110" fillId="0" borderId="0" xfId="0" applyFont="1" applyFill="1" applyBorder="1" applyAlignment="1">
      <alignment/>
    </xf>
    <xf numFmtId="0" fontId="108" fillId="0" borderId="0" xfId="0" applyFont="1" applyFill="1" applyBorder="1" applyAlignment="1">
      <alignment/>
    </xf>
    <xf numFmtId="0" fontId="111"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1"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2"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08" fillId="0" borderId="0" xfId="115" applyFont="1" applyFill="1" applyBorder="1" applyAlignment="1">
      <alignment horizontal="center" wrapText="1"/>
      <protection/>
    </xf>
    <xf numFmtId="0" fontId="109" fillId="0" borderId="0" xfId="0" applyFont="1" applyAlignment="1">
      <alignment/>
    </xf>
    <xf numFmtId="0" fontId="109" fillId="0" borderId="0" xfId="0" applyFont="1" applyBorder="1" applyAlignment="1">
      <alignment/>
    </xf>
    <xf numFmtId="187" fontId="109" fillId="0" borderId="17" xfId="0" applyNumberFormat="1" applyFont="1" applyFill="1" applyBorder="1" applyAlignment="1">
      <alignment horizontal="right" wrapText="1"/>
    </xf>
    <xf numFmtId="9" fontId="109" fillId="0" borderId="17" xfId="129" applyFont="1" applyFill="1" applyBorder="1" applyAlignment="1">
      <alignment horizontal="right"/>
    </xf>
    <xf numFmtId="9" fontId="109" fillId="0" borderId="17" xfId="0" applyNumberFormat="1" applyFont="1" applyFill="1" applyBorder="1" applyAlignment="1">
      <alignment horizontal="right"/>
    </xf>
    <xf numFmtId="187" fontId="109" fillId="0" borderId="18" xfId="0" applyNumberFormat="1" applyFont="1" applyFill="1" applyBorder="1" applyAlignment="1">
      <alignment horizontal="right" wrapText="1"/>
    </xf>
    <xf numFmtId="9" fontId="109" fillId="0" borderId="18" xfId="129" applyFont="1" applyFill="1" applyBorder="1" applyAlignment="1">
      <alignment horizontal="right"/>
    </xf>
    <xf numFmtId="9" fontId="109" fillId="0" borderId="18" xfId="0" applyNumberFormat="1" applyFont="1" applyFill="1" applyBorder="1" applyAlignment="1">
      <alignment horizontal="right"/>
    </xf>
    <xf numFmtId="9" fontId="109" fillId="0" borderId="18" xfId="0" applyNumberFormat="1" applyFont="1" applyFill="1" applyBorder="1" applyAlignment="1" quotePrefix="1">
      <alignment horizontal="right"/>
    </xf>
    <xf numFmtId="187" fontId="107" fillId="0" borderId="18" xfId="0" applyNumberFormat="1" applyFont="1" applyFill="1" applyBorder="1" applyAlignment="1">
      <alignment horizontal="right" wrapText="1"/>
    </xf>
    <xf numFmtId="187" fontId="107" fillId="0" borderId="0" xfId="0" applyNumberFormat="1" applyFont="1" applyFill="1" applyBorder="1" applyAlignment="1">
      <alignment horizontal="right" wrapText="1"/>
    </xf>
    <xf numFmtId="187" fontId="107" fillId="0" borderId="21" xfId="0" applyNumberFormat="1" applyFont="1" applyFill="1" applyBorder="1" applyAlignment="1">
      <alignment horizontal="right"/>
    </xf>
    <xf numFmtId="187" fontId="107" fillId="0" borderId="18" xfId="0" applyNumberFormat="1" applyFont="1" applyFill="1" applyBorder="1" applyAlignment="1">
      <alignment horizontal="right"/>
    </xf>
    <xf numFmtId="9" fontId="107" fillId="0" borderId="18" xfId="129" applyNumberFormat="1" applyFont="1" applyFill="1" applyBorder="1" applyAlignment="1">
      <alignment horizontal="right"/>
    </xf>
    <xf numFmtId="9" fontId="107" fillId="0" borderId="0" xfId="129" applyNumberFormat="1" applyFont="1" applyFill="1" applyBorder="1" applyAlignment="1">
      <alignment horizontal="right"/>
    </xf>
    <xf numFmtId="9" fontId="107" fillId="0" borderId="18" xfId="129" applyFont="1" applyFill="1" applyBorder="1" applyAlignment="1">
      <alignment horizontal="right"/>
    </xf>
    <xf numFmtId="9" fontId="107" fillId="0" borderId="0" xfId="129" applyFont="1" applyFill="1" applyBorder="1" applyAlignment="1">
      <alignment horizontal="right"/>
    </xf>
    <xf numFmtId="9" fontId="107" fillId="0" borderId="18" xfId="0" applyNumberFormat="1" applyFont="1" applyFill="1" applyBorder="1" applyAlignment="1">
      <alignment horizontal="right"/>
    </xf>
    <xf numFmtId="9" fontId="107"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107" fillId="0" borderId="0" xfId="0" applyFont="1" applyFill="1" applyAlignment="1">
      <alignment/>
    </xf>
    <xf numFmtId="175" fontId="109"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109" fillId="0" borderId="0" xfId="0" applyNumberFormat="1" applyFont="1" applyAlignment="1">
      <alignment/>
    </xf>
    <xf numFmtId="9" fontId="47" fillId="47" borderId="0" xfId="0" applyNumberFormat="1" applyFont="1" applyFill="1" applyAlignment="1">
      <alignment/>
    </xf>
    <xf numFmtId="0" fontId="113" fillId="0" borderId="0" xfId="0" applyFont="1" applyFill="1" applyBorder="1" applyAlignment="1">
      <alignment vertical="center"/>
    </xf>
    <xf numFmtId="0" fontId="110" fillId="0" borderId="0" xfId="0" applyFont="1" applyFill="1" applyBorder="1" applyAlignment="1">
      <alignment horizontal="center"/>
    </xf>
    <xf numFmtId="0" fontId="110" fillId="0" borderId="0" xfId="0" applyFont="1" applyFill="1" applyBorder="1" applyAlignment="1">
      <alignment/>
    </xf>
    <xf numFmtId="0" fontId="108" fillId="0" borderId="0" xfId="0" applyFont="1" applyFill="1" applyBorder="1" applyAlignment="1">
      <alignment horizontal="right"/>
    </xf>
    <xf numFmtId="0" fontId="110"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5" xfId="115"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17" fontId="108" fillId="0" borderId="26" xfId="0" applyNumberFormat="1" applyFont="1" applyFill="1" applyBorder="1" applyAlignment="1">
      <alignment horizontal="right"/>
    </xf>
    <xf numFmtId="9" fontId="102" fillId="0" borderId="18" xfId="128" applyFont="1" applyFill="1" applyBorder="1" applyAlignment="1">
      <alignment horizontal="right" vertical="center" indent="1"/>
    </xf>
    <xf numFmtId="9" fontId="99" fillId="0" borderId="18" xfId="128"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3" fillId="0" borderId="26" xfId="115" applyNumberFormat="1" applyFont="1" applyFill="1" applyBorder="1" applyAlignment="1">
      <alignment horizontal="center" vertical="center" wrapText="1"/>
      <protection/>
    </xf>
    <xf numFmtId="3" fontId="93" fillId="47" borderId="26" xfId="115" applyNumberFormat="1" applyFont="1" applyFill="1" applyBorder="1" applyAlignment="1">
      <alignment horizontal="center" vertical="center" wrapText="1"/>
      <protection/>
    </xf>
    <xf numFmtId="0" fontId="93"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3" fontId="93"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4" fillId="47" borderId="18" xfId="0" applyNumberFormat="1" applyFont="1" applyFill="1" applyBorder="1" applyAlignment="1">
      <alignment horizontal="right"/>
    </xf>
    <xf numFmtId="187" fontId="111" fillId="47" borderId="18" xfId="0" applyNumberFormat="1" applyFont="1" applyFill="1" applyBorder="1" applyAlignment="1">
      <alignment horizontal="right"/>
    </xf>
    <xf numFmtId="9" fontId="45" fillId="47" borderId="18" xfId="128" applyFont="1" applyFill="1" applyBorder="1" applyAlignment="1">
      <alignment horizontal="right" vertical="center" indent="1"/>
    </xf>
    <xf numFmtId="9" fontId="44" fillId="47" borderId="18" xfId="128" applyFont="1" applyFill="1" applyBorder="1" applyAlignment="1">
      <alignment horizontal="right" vertical="center" indent="1"/>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4"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4" xfId="115" applyNumberFormat="1" applyFont="1" applyFill="1" applyBorder="1" applyAlignment="1">
      <alignment horizontal="right" vertical="center" indent="1"/>
      <protection/>
    </xf>
    <xf numFmtId="178" fontId="45" fillId="47" borderId="24" xfId="115" applyNumberFormat="1" applyFont="1" applyFill="1" applyBorder="1" applyAlignment="1">
      <alignment horizontal="right" vertical="center" indent="1"/>
      <protection/>
    </xf>
    <xf numFmtId="0" fontId="114" fillId="47" borderId="18" xfId="0" applyNumberFormat="1" applyFont="1" applyFill="1" applyBorder="1" applyAlignment="1">
      <alignment horizontal="right"/>
    </xf>
    <xf numFmtId="0" fontId="96" fillId="47" borderId="0" xfId="115" applyFont="1" applyFill="1" applyBorder="1">
      <alignment/>
      <protection/>
    </xf>
    <xf numFmtId="0" fontId="0" fillId="47" borderId="0" xfId="115" applyFill="1" applyBorder="1">
      <alignment/>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187" fontId="114" fillId="47" borderId="17" xfId="0" applyNumberFormat="1" applyFont="1" applyFill="1" applyBorder="1" applyAlignment="1">
      <alignment horizontal="right"/>
    </xf>
    <xf numFmtId="187" fontId="114" fillId="47" borderId="17" xfId="0" applyNumberFormat="1" applyFont="1" applyFill="1" applyBorder="1" applyAlignment="1" quotePrefix="1">
      <alignment horizontal="right"/>
    </xf>
    <xf numFmtId="175" fontId="114" fillId="47" borderId="17" xfId="0" applyNumberFormat="1" applyFont="1" applyFill="1" applyBorder="1" applyAlignment="1">
      <alignment horizontal="right"/>
    </xf>
    <xf numFmtId="0" fontId="109" fillId="47" borderId="18" xfId="0" applyFont="1" applyFill="1" applyBorder="1" applyAlignment="1">
      <alignment horizontal="right"/>
    </xf>
    <xf numFmtId="0" fontId="109" fillId="47" borderId="17" xfId="129" applyNumberFormat="1" applyFont="1" applyFill="1" applyBorder="1" applyAlignment="1" quotePrefix="1">
      <alignment horizontal="right"/>
    </xf>
    <xf numFmtId="187" fontId="109" fillId="47" borderId="17" xfId="129" applyNumberFormat="1" applyFont="1" applyFill="1" applyBorder="1" applyAlignment="1" quotePrefix="1">
      <alignment horizontal="right"/>
    </xf>
    <xf numFmtId="0" fontId="107" fillId="47" borderId="17" xfId="129" applyNumberFormat="1" applyFont="1" applyFill="1" applyBorder="1" applyAlignment="1" quotePrefix="1">
      <alignment horizontal="right"/>
    </xf>
    <xf numFmtId="0" fontId="107" fillId="50" borderId="25" xfId="115" applyFont="1" applyFill="1" applyBorder="1" applyAlignment="1">
      <alignment vertical="center"/>
      <protection/>
    </xf>
    <xf numFmtId="0" fontId="47" fillId="47" borderId="25" xfId="115" applyFont="1" applyFill="1" applyBorder="1" applyAlignment="1" quotePrefix="1">
      <alignment horizontal="left" vertical="top" wrapText="1"/>
      <protection/>
    </xf>
    <xf numFmtId="0" fontId="47" fillId="47" borderId="25" xfId="115" applyFont="1" applyFill="1" applyBorder="1" applyAlignment="1">
      <alignment horizontal="left" vertical="top"/>
      <protection/>
    </xf>
    <xf numFmtId="2" fontId="107" fillId="50" borderId="25" xfId="115" applyNumberFormat="1" applyFont="1" applyFill="1" applyBorder="1" applyAlignment="1">
      <alignment horizontal="right" vertical="center"/>
      <protection/>
    </xf>
    <xf numFmtId="0" fontId="107" fillId="50" borderId="25" xfId="115" applyFont="1" applyFill="1" applyBorder="1" applyAlignment="1">
      <alignment horizontal="center" vertical="center"/>
      <protection/>
    </xf>
    <xf numFmtId="178" fontId="99" fillId="47" borderId="18" xfId="115" applyNumberFormat="1" applyFont="1" applyFill="1" applyBorder="1" applyAlignment="1">
      <alignment horizontal="right" vertical="center" indent="1"/>
      <protection/>
    </xf>
    <xf numFmtId="187" fontId="47" fillId="0" borderId="18" xfId="0" applyNumberFormat="1" applyFont="1" applyFill="1" applyBorder="1" applyAlignment="1" quotePrefix="1">
      <alignment horizontal="right"/>
    </xf>
    <xf numFmtId="0" fontId="115" fillId="0" borderId="0" xfId="115" applyFont="1" applyAlignment="1">
      <alignment vertical="center"/>
      <protection/>
    </xf>
    <xf numFmtId="0" fontId="109" fillId="0" borderId="0" xfId="115" applyFont="1" applyAlignment="1">
      <alignment horizontal="left" vertical="top"/>
      <protection/>
    </xf>
    <xf numFmtId="0" fontId="116" fillId="0" borderId="0" xfId="115" applyFont="1" applyAlignment="1">
      <alignment horizontal="center" vertical="center" wrapText="1"/>
      <protection/>
    </xf>
    <xf numFmtId="0" fontId="108" fillId="0" borderId="22" xfId="115" applyFont="1" applyBorder="1" applyAlignment="1">
      <alignment horizontal="left" vertical="top"/>
      <protection/>
    </xf>
    <xf numFmtId="0" fontId="107" fillId="0" borderId="0" xfId="115" applyFont="1" applyAlignment="1">
      <alignment horizontal="left" vertical="top"/>
      <protection/>
    </xf>
    <xf numFmtId="178" fontId="47" fillId="0" borderId="25" xfId="115" applyNumberFormat="1" applyFont="1" applyBorder="1" applyAlignment="1">
      <alignment horizontal="right" vertical="center" indent="1"/>
      <protection/>
    </xf>
    <xf numFmtId="0" fontId="109" fillId="0" borderId="25" xfId="115" applyFont="1" applyBorder="1" applyAlignment="1">
      <alignment horizontal="left" vertical="top"/>
      <protection/>
    </xf>
    <xf numFmtId="178" fontId="47" fillId="0" borderId="0" xfId="115" applyNumberFormat="1" applyFont="1" applyAlignment="1">
      <alignment horizontal="right" vertical="center" indent="1"/>
      <protection/>
    </xf>
    <xf numFmtId="0" fontId="107" fillId="0" borderId="0" xfId="115" applyFont="1" applyAlignment="1">
      <alignment horizontal="left" vertical="top" wrapText="1"/>
      <protection/>
    </xf>
    <xf numFmtId="178" fontId="47" fillId="48" borderId="0" xfId="115" applyNumberFormat="1" applyFont="1" applyFill="1" applyAlignment="1">
      <alignment horizontal="right" vertical="center" indent="1"/>
      <protection/>
    </xf>
    <xf numFmtId="0" fontId="117" fillId="0" borderId="0" xfId="115" applyFont="1" applyAlignment="1">
      <alignment horizontal="left" vertical="top"/>
      <protection/>
    </xf>
    <xf numFmtId="0" fontId="117" fillId="0" borderId="25" xfId="115" applyFont="1" applyBorder="1" applyAlignment="1">
      <alignment horizontal="left" vertical="top"/>
      <protection/>
    </xf>
    <xf numFmtId="2" fontId="109" fillId="0" borderId="0" xfId="115" applyNumberFormat="1" applyFont="1" applyAlignment="1">
      <alignment horizontal="right" vertical="top"/>
      <protection/>
    </xf>
    <xf numFmtId="0" fontId="109" fillId="0" borderId="0" xfId="115" applyFont="1" applyAlignment="1">
      <alignment vertical="top"/>
      <protection/>
    </xf>
    <xf numFmtId="0" fontId="107" fillId="0" borderId="0" xfId="115" applyFont="1" applyAlignment="1">
      <alignment vertical="top"/>
      <protection/>
    </xf>
    <xf numFmtId="208" fontId="47" fillId="0" borderId="25" xfId="115" applyNumberFormat="1" applyFont="1" applyBorder="1" applyAlignment="1">
      <alignment horizontal="right" vertical="center" indent="1"/>
      <protection/>
    </xf>
    <xf numFmtId="0" fontId="109" fillId="0" borderId="0" xfId="115" applyFont="1" applyAlignment="1">
      <alignment horizontal="left" vertical="top" wrapText="1"/>
      <protection/>
    </xf>
    <xf numFmtId="194" fontId="47" fillId="0" borderId="25" xfId="115" applyNumberFormat="1" applyFont="1" applyBorder="1" applyAlignment="1">
      <alignment horizontal="right" vertical="center" indent="1"/>
      <protection/>
    </xf>
    <xf numFmtId="0" fontId="118" fillId="0" borderId="0" xfId="115" applyFont="1" applyAlignment="1">
      <alignment horizontal="left" vertical="top"/>
      <protection/>
    </xf>
    <xf numFmtId="0" fontId="93" fillId="0" borderId="0" xfId="115" applyFont="1" applyFill="1" applyBorder="1" applyAlignment="1">
      <alignment horizontal="left"/>
      <protection/>
    </xf>
    <xf numFmtId="0" fontId="93" fillId="47" borderId="0" xfId="115" applyFont="1" applyFill="1" applyBorder="1" applyAlignment="1">
      <alignment horizontal="center" wrapText="1"/>
      <protection/>
    </xf>
    <xf numFmtId="0" fontId="95" fillId="0" borderId="0" xfId="115" applyFont="1" applyFill="1" applyBorder="1" applyAlignment="1">
      <alignment horizontal="left" vertical="center" indent="2"/>
      <protection/>
    </xf>
    <xf numFmtId="0" fontId="95" fillId="0" borderId="0" xfId="115" applyFont="1" applyFill="1" applyBorder="1" applyAlignment="1">
      <alignment horizontal="left" vertical="center" wrapText="1" indent="2"/>
      <protection/>
    </xf>
    <xf numFmtId="178" fontId="93" fillId="0" borderId="0" xfId="115" applyNumberFormat="1" applyFont="1" applyFill="1" applyBorder="1" applyAlignment="1">
      <alignment vertical="center"/>
      <protection/>
    </xf>
    <xf numFmtId="0" fontId="93"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4"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4" xfId="115" applyNumberFormat="1" applyFont="1" applyFill="1" applyBorder="1" applyAlignment="1">
      <alignment horizontal="right" vertical="center" indent="1"/>
      <protection/>
    </xf>
    <xf numFmtId="0" fontId="48"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97" fillId="0" borderId="0" xfId="115" applyNumberFormat="1" applyFont="1" applyFill="1" applyBorder="1" applyAlignment="1">
      <alignment horizontal="right" vertical="center"/>
      <protection/>
    </xf>
    <xf numFmtId="0" fontId="0" fillId="0" borderId="17" xfId="115" applyFill="1" applyBorder="1">
      <alignment/>
      <protection/>
    </xf>
    <xf numFmtId="178" fontId="98" fillId="0" borderId="0" xfId="115" applyNumberFormat="1" applyFont="1" applyFill="1" applyBorder="1" applyAlignment="1">
      <alignment horizontal="right" vertical="center" indent="1"/>
      <protection/>
    </xf>
    <xf numFmtId="178" fontId="98"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1"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3" fillId="47" borderId="17" xfId="115" applyFont="1" applyFill="1" applyBorder="1" applyAlignment="1">
      <alignment horizontal="center" wrapText="1"/>
      <protection/>
    </xf>
    <xf numFmtId="178" fontId="98"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0" fontId="99" fillId="47" borderId="0" xfId="115" applyFont="1" applyFill="1">
      <alignment/>
      <protection/>
    </xf>
    <xf numFmtId="0" fontId="93" fillId="47" borderId="0" xfId="115" applyFont="1" applyFill="1" applyBorder="1" applyAlignment="1">
      <alignment horizontal="center" wrapText="1"/>
      <protection/>
    </xf>
    <xf numFmtId="0" fontId="96" fillId="0" borderId="0" xfId="115" applyFont="1" applyFill="1" applyBorder="1">
      <alignment/>
      <protection/>
    </xf>
    <xf numFmtId="0" fontId="44" fillId="47" borderId="0" xfId="115" applyFont="1" applyFill="1" applyBorder="1">
      <alignment/>
      <protection/>
    </xf>
    <xf numFmtId="3" fontId="93" fillId="47" borderId="17" xfId="115" applyNumberFormat="1" applyFont="1" applyFill="1" applyBorder="1" applyAlignment="1">
      <alignment horizontal="center" vertical="center" wrapTex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4"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4" xfId="115" applyNumberFormat="1" applyFont="1" applyFill="1" applyBorder="1" applyAlignment="1">
      <alignment horizontal="right" vertical="center" indent="1"/>
      <protection/>
    </xf>
    <xf numFmtId="178" fontId="45" fillId="47" borderId="24" xfId="115" applyNumberFormat="1" applyFont="1" applyFill="1" applyBorder="1" applyAlignment="1">
      <alignment horizontal="right" vertical="center" indent="1"/>
      <protection/>
    </xf>
    <xf numFmtId="0" fontId="96" fillId="47" borderId="0" xfId="115" applyFont="1" applyFill="1" applyBorder="1">
      <alignment/>
      <protection/>
    </xf>
    <xf numFmtId="0" fontId="0" fillId="47" borderId="0" xfId="115" applyFill="1" applyBorder="1">
      <alignment/>
      <protection/>
    </xf>
    <xf numFmtId="0" fontId="93" fillId="0" borderId="0" xfId="115" applyFont="1" applyFill="1" applyBorder="1" applyAlignment="1">
      <alignment horizontal="center" wrapText="1"/>
      <protection/>
    </xf>
    <xf numFmtId="0" fontId="93" fillId="47" borderId="0" xfId="115" applyFont="1" applyFill="1" applyBorder="1" applyAlignment="1">
      <alignment horizontal="center" wrapText="1"/>
      <protection/>
    </xf>
    <xf numFmtId="178" fontId="44"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0" fontId="115" fillId="0" borderId="0" xfId="0" applyFont="1" applyAlignment="1">
      <alignment vertical="center"/>
    </xf>
    <xf numFmtId="0" fontId="107" fillId="50" borderId="25" xfId="0" applyFont="1" applyFill="1" applyBorder="1" applyAlignment="1">
      <alignment vertical="center"/>
    </xf>
    <xf numFmtId="0" fontId="109" fillId="0" borderId="0" xfId="0" applyFont="1" applyAlignment="1">
      <alignment horizontal="left" vertical="top"/>
    </xf>
    <xf numFmtId="0" fontId="119" fillId="0" borderId="0" xfId="0" applyFont="1" applyAlignment="1">
      <alignment horizontal="center" vertical="center" wrapText="1"/>
    </xf>
    <xf numFmtId="0" fontId="116" fillId="0" borderId="0" xfId="0" applyFont="1" applyAlignment="1">
      <alignment horizontal="center" vertical="center" wrapText="1"/>
    </xf>
    <xf numFmtId="0" fontId="107" fillId="0" borderId="0" xfId="0" applyFont="1" applyAlignment="1">
      <alignment horizontal="left" vertical="top"/>
    </xf>
    <xf numFmtId="0" fontId="107" fillId="0" borderId="0" xfId="0" applyFont="1" applyAlignment="1">
      <alignment horizontal="left" vertical="top" wrapText="1"/>
    </xf>
    <xf numFmtId="0" fontId="47" fillId="47" borderId="25" xfId="0" applyFont="1" applyFill="1" applyBorder="1" applyAlignment="1" quotePrefix="1">
      <alignment horizontal="left" vertical="top" wrapText="1"/>
    </xf>
    <xf numFmtId="0" fontId="117" fillId="0" borderId="0" xfId="0" applyFont="1" applyAlignment="1">
      <alignment horizontal="left" vertical="top"/>
    </xf>
    <xf numFmtId="0" fontId="108" fillId="0" borderId="0" xfId="0" applyFont="1" applyAlignment="1">
      <alignment horizontal="left" vertical="top"/>
    </xf>
    <xf numFmtId="2" fontId="107" fillId="50" borderId="25" xfId="0" applyNumberFormat="1" applyFont="1" applyFill="1" applyBorder="1" applyAlignment="1">
      <alignment horizontal="right" vertical="center"/>
    </xf>
    <xf numFmtId="0" fontId="109" fillId="0" borderId="0" xfId="0" applyFont="1" applyAlignment="1">
      <alignment vertical="top"/>
    </xf>
    <xf numFmtId="0" fontId="107" fillId="0" borderId="0" xfId="0" applyFont="1" applyAlignment="1">
      <alignment vertical="top"/>
    </xf>
    <xf numFmtId="0" fontId="109" fillId="0" borderId="0" xfId="0" applyFont="1" applyAlignment="1">
      <alignment horizontal="left" vertical="top" wrapText="1"/>
    </xf>
    <xf numFmtId="4" fontId="44" fillId="49" borderId="21" xfId="115" applyNumberFormat="1" applyFont="1" applyFill="1" applyBorder="1" applyAlignment="1">
      <alignment horizontal="right" vertical="center" indent="1"/>
      <protection/>
    </xf>
    <xf numFmtId="3" fontId="45" fillId="49" borderId="21" xfId="115" applyNumberFormat="1" applyFont="1" applyFill="1" applyBorder="1" applyAlignment="1">
      <alignment horizontal="right" vertical="center" indent="1"/>
      <protection/>
    </xf>
    <xf numFmtId="3" fontId="44" fillId="49" borderId="24" xfId="115" applyNumberFormat="1" applyFont="1" applyFill="1" applyBorder="1" applyAlignment="1">
      <alignment horizontal="right" vertical="center" indent="1"/>
      <protection/>
    </xf>
    <xf numFmtId="2" fontId="45" fillId="49" borderId="21" xfId="115" applyNumberFormat="1" applyFont="1" applyFill="1" applyBorder="1" applyAlignment="1">
      <alignment horizontal="right" vertical="center" indent="1"/>
      <protection/>
    </xf>
    <xf numFmtId="178" fontId="45" fillId="49" borderId="24"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4"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3" fontId="45" fillId="47" borderId="24"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4" fillId="49" borderId="28" xfId="115" applyNumberFormat="1" applyFont="1" applyFill="1" applyBorder="1" applyAlignment="1">
      <alignment horizontal="right" vertical="center" indent="1"/>
      <protection/>
    </xf>
    <xf numFmtId="178" fontId="45" fillId="49" borderId="28"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187" fontId="118" fillId="0" borderId="0" xfId="0" applyNumberFormat="1" applyFont="1" applyAlignment="1">
      <alignment/>
    </xf>
    <xf numFmtId="9" fontId="45" fillId="49" borderId="18" xfId="128" applyFont="1" applyFill="1" applyBorder="1" applyAlignment="1">
      <alignment horizontal="right" vertical="center" indent="1"/>
    </xf>
    <xf numFmtId="3" fontId="44" fillId="49" borderId="18" xfId="115" applyNumberFormat="1" applyFont="1" applyFill="1" applyBorder="1" applyAlignment="1">
      <alignment horizontal="right" vertical="center" indent="1"/>
      <protection/>
    </xf>
    <xf numFmtId="4" fontId="44" fillId="49" borderId="18" xfId="115" applyNumberFormat="1" applyFont="1" applyFill="1" applyBorder="1" applyAlignment="1">
      <alignment horizontal="right" vertical="center" indent="1"/>
      <protection/>
    </xf>
    <xf numFmtId="4" fontId="45" fillId="49" borderId="18" xfId="115" applyNumberFormat="1" applyFont="1" applyFill="1" applyBorder="1" applyAlignment="1">
      <alignment horizontal="right" vertical="center" indent="1"/>
      <protection/>
    </xf>
    <xf numFmtId="3" fontId="45" fillId="49" borderId="18" xfId="115" applyNumberFormat="1" applyFont="1" applyFill="1" applyBorder="1" applyAlignment="1">
      <alignment horizontal="right" vertical="center" indent="1"/>
      <protection/>
    </xf>
    <xf numFmtId="9" fontId="114" fillId="47" borderId="18" xfId="0" applyNumberFormat="1" applyFont="1" applyFill="1" applyBorder="1" applyAlignment="1">
      <alignment horizontal="right"/>
    </xf>
    <xf numFmtId="9" fontId="114" fillId="47" borderId="18" xfId="0" applyNumberFormat="1" applyFont="1" applyFill="1" applyBorder="1" applyAlignment="1" quotePrefix="1">
      <alignment horizontal="right"/>
    </xf>
    <xf numFmtId="9" fontId="109" fillId="47" borderId="17" xfId="129" applyNumberFormat="1" applyFont="1" applyFill="1" applyBorder="1" applyAlignment="1" quotePrefix="1">
      <alignment horizontal="right"/>
    </xf>
    <xf numFmtId="9" fontId="107" fillId="47" borderId="17" xfId="129" applyNumberFormat="1" applyFont="1" applyFill="1" applyBorder="1" applyAlignment="1" quotePrefix="1">
      <alignment horizontal="right"/>
    </xf>
    <xf numFmtId="0" fontId="118" fillId="0" borderId="0" xfId="0" applyFont="1" applyAlignment="1">
      <alignment/>
    </xf>
    <xf numFmtId="0" fontId="45" fillId="0" borderId="20" xfId="115" applyFont="1" applyFill="1" applyBorder="1">
      <alignment/>
      <protection/>
    </xf>
    <xf numFmtId="187" fontId="107" fillId="47" borderId="17" xfId="129" applyNumberFormat="1" applyFont="1" applyFill="1" applyBorder="1" applyAlignment="1" quotePrefix="1">
      <alignment horizontal="right"/>
    </xf>
    <xf numFmtId="0" fontId="91" fillId="0" borderId="20" xfId="115" applyFont="1" applyFill="1" applyBorder="1">
      <alignment/>
      <protection/>
    </xf>
    <xf numFmtId="0" fontId="0" fillId="0" borderId="20" xfId="0" applyBorder="1" applyAlignment="1">
      <alignment/>
    </xf>
    <xf numFmtId="0" fontId="0" fillId="0" borderId="20" xfId="115" applyFill="1" applyBorder="1">
      <alignment/>
      <protection/>
    </xf>
    <xf numFmtId="0" fontId="48" fillId="0" borderId="20" xfId="115" applyFont="1" applyFill="1" applyBorder="1">
      <alignment/>
      <protection/>
    </xf>
    <xf numFmtId="178" fontId="49" fillId="0" borderId="25" xfId="115" applyNumberFormat="1" applyFont="1" applyBorder="1" applyAlignment="1">
      <alignment horizontal="right" vertical="center" indent="1"/>
      <protection/>
    </xf>
    <xf numFmtId="178" fontId="49" fillId="47" borderId="25" xfId="115" applyNumberFormat="1" applyFont="1" applyFill="1" applyBorder="1" applyAlignment="1">
      <alignment horizontal="right" vertical="center" indent="1"/>
      <protection/>
    </xf>
    <xf numFmtId="178" fontId="49" fillId="0" borderId="22" xfId="115" applyNumberFormat="1" applyFont="1" applyBorder="1" applyAlignment="1">
      <alignment horizontal="right" vertical="center" indent="1"/>
      <protection/>
    </xf>
    <xf numFmtId="9" fontId="49" fillId="0" borderId="25" xfId="129" applyFont="1" applyFill="1" applyBorder="1" applyAlignment="1">
      <alignment horizontal="right" vertical="center" indent="1"/>
    </xf>
    <xf numFmtId="9" fontId="49" fillId="0" borderId="25" xfId="129" applyFont="1" applyFill="1" applyBorder="1" applyAlignment="1" quotePrefix="1">
      <alignment horizontal="right" vertical="center" indent="1"/>
    </xf>
    <xf numFmtId="187" fontId="114" fillId="51" borderId="18" xfId="0" applyNumberFormat="1" applyFont="1" applyFill="1" applyBorder="1" applyAlignment="1">
      <alignment horizontal="right"/>
    </xf>
    <xf numFmtId="187" fontId="114" fillId="51" borderId="17" xfId="0" applyNumberFormat="1" applyFont="1" applyFill="1" applyBorder="1" applyAlignment="1">
      <alignment horizontal="right"/>
    </xf>
    <xf numFmtId="187" fontId="114" fillId="51" borderId="17" xfId="0" applyNumberFormat="1" applyFont="1" applyFill="1" applyBorder="1" applyAlignment="1" quotePrefix="1">
      <alignment horizontal="right"/>
    </xf>
    <xf numFmtId="175" fontId="114" fillId="51" borderId="17" xfId="0" applyNumberFormat="1" applyFont="1" applyFill="1" applyBorder="1" applyAlignment="1">
      <alignment horizontal="right"/>
    </xf>
    <xf numFmtId="175" fontId="114" fillId="51" borderId="17" xfId="129" applyNumberFormat="1" applyFont="1" applyFill="1" applyBorder="1" applyAlignment="1">
      <alignment horizontal="right"/>
    </xf>
    <xf numFmtId="9" fontId="109" fillId="51" borderId="17" xfId="129" applyNumberFormat="1" applyFont="1" applyFill="1" applyBorder="1" applyAlignment="1" quotePrefix="1">
      <alignment horizontal="right"/>
    </xf>
    <xf numFmtId="175" fontId="111" fillId="51" borderId="17" xfId="129" applyNumberFormat="1" applyFont="1" applyFill="1" applyBorder="1" applyAlignment="1">
      <alignment horizontal="right"/>
    </xf>
    <xf numFmtId="9" fontId="107" fillId="51" borderId="17" xfId="129" applyNumberFormat="1" applyFont="1" applyFill="1" applyBorder="1" applyAlignment="1" quotePrefix="1">
      <alignment horizontal="right"/>
    </xf>
    <xf numFmtId="0" fontId="48" fillId="0" borderId="0" xfId="115" applyFont="1" applyFill="1" applyBorder="1">
      <alignment/>
      <protection/>
    </xf>
    <xf numFmtId="0" fontId="48" fillId="0" borderId="0" xfId="0" applyFont="1" applyAlignment="1">
      <alignment/>
    </xf>
    <xf numFmtId="0" fontId="48" fillId="0" borderId="20" xfId="0" applyFont="1" applyBorder="1" applyAlignment="1">
      <alignment/>
    </xf>
    <xf numFmtId="0" fontId="93" fillId="0" borderId="0" xfId="115" applyFont="1">
      <alignment/>
      <protection/>
    </xf>
    <xf numFmtId="0" fontId="50" fillId="0" borderId="0" xfId="115" applyFont="1" applyAlignment="1">
      <alignment horizontal="center" wrapText="1"/>
      <protection/>
    </xf>
    <xf numFmtId="0" fontId="46" fillId="0" borderId="0" xfId="115" applyFont="1">
      <alignment/>
      <protection/>
    </xf>
    <xf numFmtId="0" fontId="96" fillId="0" borderId="0" xfId="115" applyFont="1">
      <alignment/>
      <protection/>
    </xf>
    <xf numFmtId="0" fontId="120" fillId="0" borderId="0" xfId="115" applyFont="1">
      <alignment/>
      <protection/>
    </xf>
    <xf numFmtId="0" fontId="97" fillId="0" borderId="0" xfId="115" applyFont="1">
      <alignment/>
      <protection/>
    </xf>
    <xf numFmtId="0" fontId="99" fillId="0" borderId="0" xfId="115" applyFont="1">
      <alignment/>
      <protection/>
    </xf>
    <xf numFmtId="0" fontId="93" fillId="0" borderId="17" xfId="0" applyFont="1" applyBorder="1" applyAlignment="1">
      <alignment horizontal="center" vertical="center" wrapText="1"/>
    </xf>
    <xf numFmtId="0" fontId="45" fillId="0" borderId="0" xfId="0" applyFont="1" applyAlignment="1">
      <alignment horizontal="right" vertical="center"/>
    </xf>
    <xf numFmtId="0" fontId="93" fillId="0" borderId="0" xfId="0" applyFont="1" applyAlignment="1">
      <alignment horizontal="center" vertical="center" wrapText="1"/>
    </xf>
    <xf numFmtId="0" fontId="44" fillId="0" borderId="0" xfId="0" applyFont="1" applyAlignment="1">
      <alignment vertical="center"/>
    </xf>
    <xf numFmtId="0" fontId="95" fillId="0" borderId="0" xfId="115" applyFont="1" applyAlignment="1">
      <alignment vertical="center" wrapText="1"/>
      <protection/>
    </xf>
    <xf numFmtId="3" fontId="95" fillId="0" borderId="21" xfId="115" applyNumberFormat="1" applyFont="1" applyBorder="1" applyAlignment="1">
      <alignment horizontal="right" vertical="center" indent="1"/>
      <protection/>
    </xf>
    <xf numFmtId="3" fontId="95" fillId="0" borderId="18" xfId="115" applyNumberFormat="1" applyFont="1" applyBorder="1" applyAlignment="1">
      <alignment horizontal="right" vertical="center" indent="1"/>
      <protection/>
    </xf>
    <xf numFmtId="3" fontId="97" fillId="0" borderId="20" xfId="115" applyNumberFormat="1" applyFont="1" applyBorder="1" applyAlignment="1">
      <alignment horizontal="right" vertical="center" indent="1"/>
      <protection/>
    </xf>
    <xf numFmtId="3" fontId="99" fillId="0" borderId="18" xfId="115" applyNumberFormat="1" applyFont="1" applyBorder="1" applyAlignment="1">
      <alignment horizontal="right" vertical="center" indent="1"/>
      <protection/>
    </xf>
    <xf numFmtId="4" fontId="97" fillId="0" borderId="20" xfId="115" applyNumberFormat="1" applyFont="1" applyBorder="1" applyAlignment="1">
      <alignment horizontal="right" vertical="center" indent="1"/>
      <protection/>
    </xf>
    <xf numFmtId="2" fontId="99" fillId="0" borderId="18" xfId="115" applyNumberFormat="1" applyFont="1" applyBorder="1" applyAlignment="1">
      <alignment horizontal="right" vertical="center" indent="1"/>
      <protection/>
    </xf>
    <xf numFmtId="0" fontId="45" fillId="0" borderId="0" xfId="115" applyFont="1" applyAlignment="1">
      <alignment horizontal="center"/>
      <protection/>
    </xf>
    <xf numFmtId="0" fontId="45" fillId="0" borderId="23" xfId="115" applyFont="1" applyBorder="1" applyAlignment="1">
      <alignment horizontal="center"/>
      <protection/>
    </xf>
    <xf numFmtId="0" fontId="45" fillId="0" borderId="19" xfId="115" applyFont="1" applyBorder="1" applyAlignment="1">
      <alignment horizontal="center"/>
      <protection/>
    </xf>
    <xf numFmtId="0" fontId="45" fillId="0" borderId="20" xfId="115" applyFont="1" applyBorder="1" applyAlignment="1">
      <alignment horizontal="center"/>
      <protection/>
    </xf>
    <xf numFmtId="0" fontId="98" fillId="0" borderId="19" xfId="115" applyFont="1" applyBorder="1" applyAlignment="1">
      <alignment horizontal="center"/>
      <protection/>
    </xf>
    <xf numFmtId="0" fontId="44" fillId="0" borderId="0" xfId="115" applyFont="1">
      <alignment/>
      <protection/>
    </xf>
    <xf numFmtId="0" fontId="93" fillId="0" borderId="0" xfId="115" applyFont="1" applyAlignment="1">
      <alignment horizontal="center"/>
      <protection/>
    </xf>
    <xf numFmtId="0" fontId="93" fillId="0" borderId="24" xfId="115" applyFont="1" applyBorder="1" applyAlignment="1">
      <alignment horizontal="center" wrapText="1"/>
      <protection/>
    </xf>
    <xf numFmtId="0" fontId="93" fillId="0" borderId="17" xfId="115" applyFont="1" applyBorder="1" applyAlignment="1">
      <alignment horizontal="center" wrapText="1"/>
      <protection/>
    </xf>
    <xf numFmtId="0" fontId="93" fillId="0" borderId="20" xfId="115" applyFont="1" applyBorder="1" applyAlignment="1">
      <alignment horizontal="right"/>
      <protection/>
    </xf>
    <xf numFmtId="0" fontId="93" fillId="0" borderId="0" xfId="115" applyFont="1" applyAlignment="1">
      <alignment vertical="center" wrapText="1"/>
      <protection/>
    </xf>
    <xf numFmtId="0" fontId="45" fillId="0" borderId="18" xfId="115" applyFont="1" applyBorder="1" applyAlignment="1">
      <alignment vertical="center" wrapText="1"/>
      <protection/>
    </xf>
    <xf numFmtId="0" fontId="45" fillId="0" borderId="0" xfId="115" applyFont="1" applyAlignment="1">
      <alignment vertical="center" wrapText="1"/>
      <protection/>
    </xf>
    <xf numFmtId="178" fontId="45" fillId="0" borderId="21" xfId="115" applyNumberFormat="1" applyFont="1" applyBorder="1" applyAlignment="1">
      <alignment horizontal="right" vertical="center" indent="1"/>
      <protection/>
    </xf>
    <xf numFmtId="178" fontId="45" fillId="0" borderId="18" xfId="115" applyNumberFormat="1" applyFont="1" applyBorder="1" applyAlignment="1">
      <alignment horizontal="right" vertical="center" indent="1"/>
      <protection/>
    </xf>
    <xf numFmtId="0" fontId="45" fillId="0" borderId="20" xfId="115" applyFont="1" applyBorder="1">
      <alignment/>
      <protection/>
    </xf>
    <xf numFmtId="178" fontId="102" fillId="0" borderId="18" xfId="115" applyNumberFormat="1" applyFont="1" applyBorder="1" applyAlignment="1">
      <alignment horizontal="right" vertical="center" indent="1"/>
      <protection/>
    </xf>
    <xf numFmtId="0" fontId="45" fillId="0" borderId="0" xfId="115" applyFont="1">
      <alignment/>
      <protection/>
    </xf>
    <xf numFmtId="0" fontId="121" fillId="0" borderId="0" xfId="115" applyFont="1" applyAlignment="1">
      <alignment vertical="center" wrapText="1"/>
      <protection/>
    </xf>
    <xf numFmtId="0" fontId="44" fillId="0" borderId="0" xfId="115" applyFont="1" applyAlignment="1">
      <alignment vertical="center" wrapText="1"/>
      <protection/>
    </xf>
    <xf numFmtId="178" fontId="44" fillId="0" borderId="21" xfId="115" applyNumberFormat="1" applyFont="1" applyBorder="1" applyAlignment="1">
      <alignment horizontal="right" vertical="center" indent="1"/>
      <protection/>
    </xf>
    <xf numFmtId="178" fontId="44" fillId="0" borderId="18" xfId="115" applyNumberFormat="1" applyFont="1" applyBorder="1" applyAlignment="1">
      <alignment horizontal="right" vertical="center" indent="1"/>
      <protection/>
    </xf>
    <xf numFmtId="0" fontId="44" fillId="0" borderId="20" xfId="115" applyFont="1" applyBorder="1">
      <alignment/>
      <protection/>
    </xf>
    <xf numFmtId="178" fontId="99" fillId="0" borderId="18" xfId="115" applyNumberFormat="1" applyFont="1" applyBorder="1" applyAlignment="1">
      <alignment horizontal="right" vertical="center" indent="1"/>
      <protection/>
    </xf>
    <xf numFmtId="0" fontId="95" fillId="0" borderId="0" xfId="115" applyFont="1" applyAlignment="1">
      <alignment horizontal="left" vertical="center"/>
      <protection/>
    </xf>
    <xf numFmtId="178" fontId="97" fillId="0" borderId="20" xfId="115" applyNumberFormat="1" applyFont="1" applyBorder="1" applyAlignment="1">
      <alignment horizontal="right" vertical="center" indent="1"/>
      <protection/>
    </xf>
    <xf numFmtId="0" fontId="44" fillId="0" borderId="18" xfId="115" applyFont="1" applyBorder="1" applyAlignment="1">
      <alignment horizontal="left" vertical="center" wrapText="1" indent="2"/>
      <protection/>
    </xf>
    <xf numFmtId="0" fontId="44" fillId="0" borderId="0" xfId="115" applyFont="1" applyAlignment="1">
      <alignment horizontal="left" vertical="center" wrapText="1" indent="2"/>
      <protection/>
    </xf>
    <xf numFmtId="0" fontId="121" fillId="0" borderId="0" xfId="115" applyFont="1" applyAlignment="1">
      <alignment horizontal="left" vertical="center"/>
      <protection/>
    </xf>
    <xf numFmtId="0" fontId="95" fillId="0" borderId="18" xfId="115" applyFont="1" applyBorder="1" applyAlignment="1">
      <alignment horizontal="left" vertical="center" wrapText="1" indent="2"/>
      <protection/>
    </xf>
    <xf numFmtId="0" fontId="95" fillId="0" borderId="0" xfId="115" applyFont="1" applyAlignment="1">
      <alignment horizontal="left" vertical="center" wrapText="1" indent="2"/>
      <protection/>
    </xf>
    <xf numFmtId="0" fontId="94" fillId="0" borderId="0" xfId="115" applyFont="1" applyAlignment="1">
      <alignment vertical="center" wrapText="1"/>
      <protection/>
    </xf>
    <xf numFmtId="4" fontId="44" fillId="0" borderId="18" xfId="115" applyNumberFormat="1" applyFont="1" applyBorder="1" applyAlignment="1">
      <alignment horizontal="right"/>
      <protection/>
    </xf>
    <xf numFmtId="4" fontId="44" fillId="0" borderId="0" xfId="115" applyNumberFormat="1" applyFont="1" applyAlignment="1">
      <alignment horizontal="right"/>
      <protection/>
    </xf>
    <xf numFmtId="4" fontId="97" fillId="0" borderId="18" xfId="115" applyNumberFormat="1" applyFont="1" applyBorder="1" applyAlignment="1">
      <alignment horizontal="right"/>
      <protection/>
    </xf>
    <xf numFmtId="0" fontId="45" fillId="0" borderId="0" xfId="115" applyFont="1" applyAlignment="1">
      <alignment vertical="center"/>
      <protection/>
    </xf>
    <xf numFmtId="166" fontId="44" fillId="0" borderId="18" xfId="115" applyNumberFormat="1" applyFont="1" applyBorder="1" applyAlignment="1">
      <alignment horizontal="right" vertical="center" indent="1"/>
      <protection/>
    </xf>
    <xf numFmtId="0" fontId="44" fillId="0" borderId="20" xfId="115" applyFont="1" applyBorder="1" applyAlignment="1">
      <alignment vertical="center" wrapText="1"/>
      <protection/>
    </xf>
    <xf numFmtId="166" fontId="45" fillId="0" borderId="18" xfId="115" applyNumberFormat="1" applyFont="1" applyBorder="1" applyAlignment="1">
      <alignment horizontal="right" vertical="center" indent="1"/>
      <protection/>
    </xf>
    <xf numFmtId="0" fontId="45" fillId="0" borderId="20" xfId="115" applyFont="1" applyBorder="1" applyAlignment="1">
      <alignment vertical="center" wrapText="1"/>
      <protection/>
    </xf>
    <xf numFmtId="166" fontId="45" fillId="0" borderId="21" xfId="115" applyNumberFormat="1" applyFont="1" applyBorder="1" applyAlignment="1">
      <alignment horizontal="right" vertical="center" indent="1"/>
      <protection/>
    </xf>
    <xf numFmtId="9" fontId="44" fillId="49" borderId="18" xfId="128" applyFont="1" applyFill="1" applyBorder="1" applyAlignment="1">
      <alignment horizontal="right" vertical="center" indent="1"/>
    </xf>
    <xf numFmtId="9" fontId="44" fillId="0" borderId="0" xfId="128" applyFont="1" applyFill="1" applyAlignment="1">
      <alignment/>
    </xf>
    <xf numFmtId="178" fontId="44" fillId="0" borderId="19" xfId="115" applyNumberFormat="1" applyFont="1" applyBorder="1" applyAlignment="1">
      <alignment horizontal="right" vertical="center" indent="1"/>
      <protection/>
    </xf>
    <xf numFmtId="178" fontId="97" fillId="0" borderId="19" xfId="115" applyNumberFormat="1" applyFont="1" applyBorder="1" applyAlignment="1">
      <alignment horizontal="right" vertical="center" indent="1"/>
      <protection/>
    </xf>
    <xf numFmtId="178" fontId="44" fillId="0" borderId="17" xfId="115" applyNumberFormat="1" applyFont="1" applyBorder="1" applyAlignment="1">
      <alignment horizontal="right" vertical="center" indent="1"/>
      <protection/>
    </xf>
    <xf numFmtId="2" fontId="45" fillId="0" borderId="21" xfId="115" applyNumberFormat="1" applyFont="1" applyBorder="1" applyAlignment="1">
      <alignment horizontal="right" vertical="center" indent="1"/>
      <protection/>
    </xf>
    <xf numFmtId="2" fontId="45" fillId="0" borderId="18" xfId="115" applyNumberFormat="1" applyFont="1" applyBorder="1" applyAlignment="1">
      <alignment horizontal="right" vertical="center" indent="1"/>
      <protection/>
    </xf>
    <xf numFmtId="2" fontId="45" fillId="0" borderId="20" xfId="115" applyNumberFormat="1" applyFont="1" applyBorder="1" applyAlignment="1">
      <alignment vertical="center" wrapText="1"/>
      <protection/>
    </xf>
    <xf numFmtId="4" fontId="45" fillId="0" borderId="18" xfId="115" applyNumberFormat="1" applyFont="1" applyBorder="1" applyAlignment="1">
      <alignment horizontal="right" vertical="center" indent="1"/>
      <protection/>
    </xf>
    <xf numFmtId="2" fontId="102" fillId="0" borderId="18" xfId="115" applyNumberFormat="1" applyFont="1" applyBorder="1" applyAlignment="1">
      <alignment horizontal="right" vertical="center" indent="1"/>
      <protection/>
    </xf>
    <xf numFmtId="2" fontId="44" fillId="0" borderId="21" xfId="115" applyNumberFormat="1" applyFont="1" applyBorder="1" applyAlignment="1">
      <alignment horizontal="right" vertical="center" indent="1"/>
      <protection/>
    </xf>
    <xf numFmtId="2" fontId="44" fillId="0" borderId="18" xfId="115" applyNumberFormat="1" applyFont="1" applyBorder="1" applyAlignment="1">
      <alignment horizontal="right" vertical="center" indent="1"/>
      <protection/>
    </xf>
    <xf numFmtId="4" fontId="44" fillId="0" borderId="18" xfId="115" applyNumberFormat="1" applyFont="1" applyBorder="1" applyAlignment="1">
      <alignment horizontal="right" vertical="center" indent="1"/>
      <protection/>
    </xf>
    <xf numFmtId="2" fontId="44" fillId="0" borderId="0" xfId="115" applyNumberFormat="1" applyFont="1" applyAlignment="1">
      <alignment horizontal="right" vertical="center" indent="1"/>
      <protection/>
    </xf>
    <xf numFmtId="4" fontId="44" fillId="0" borderId="0" xfId="115" applyNumberFormat="1" applyFont="1" applyAlignment="1">
      <alignment horizontal="right" vertical="center" indent="1"/>
      <protection/>
    </xf>
    <xf numFmtId="2" fontId="44" fillId="47" borderId="0" xfId="115" applyNumberFormat="1" applyFont="1" applyFill="1" applyAlignment="1">
      <alignment horizontal="right" vertical="center" indent="1"/>
      <protection/>
    </xf>
    <xf numFmtId="2" fontId="44" fillId="0" borderId="0" xfId="115" applyNumberFormat="1" applyFont="1" applyAlignment="1">
      <alignment vertical="center" wrapText="1"/>
      <protection/>
    </xf>
    <xf numFmtId="2" fontId="44" fillId="0" borderId="0" xfId="115" applyNumberFormat="1" applyFont="1" applyAlignment="1">
      <alignment horizontal="right"/>
      <protection/>
    </xf>
    <xf numFmtId="0" fontId="45" fillId="0" borderId="17" xfId="115" applyFont="1" applyBorder="1" applyAlignment="1">
      <alignment horizontal="center" wrapText="1"/>
      <protection/>
    </xf>
    <xf numFmtId="0" fontId="45" fillId="0" borderId="0" xfId="115" applyFont="1" applyAlignment="1">
      <alignment horizontal="right"/>
      <protection/>
    </xf>
    <xf numFmtId="178" fontId="98" fillId="0" borderId="20" xfId="115" applyNumberFormat="1" applyFont="1" applyBorder="1" applyAlignment="1">
      <alignment horizontal="right" vertical="center" indent="1"/>
      <protection/>
    </xf>
    <xf numFmtId="0" fontId="93" fillId="0" borderId="0" xfId="115" applyFont="1" applyAlignment="1">
      <alignment horizontal="center" wrapText="1"/>
      <protection/>
    </xf>
    <xf numFmtId="0" fontId="93" fillId="47" borderId="0" xfId="115" applyFont="1" applyFill="1" applyAlignment="1">
      <alignment horizontal="center" wrapText="1"/>
      <protection/>
    </xf>
    <xf numFmtId="0" fontId="44" fillId="0" borderId="18" xfId="115" applyFont="1" applyBorder="1" applyAlignment="1">
      <alignment horizontal="left" vertical="center" indent="2"/>
      <protection/>
    </xf>
    <xf numFmtId="0" fontId="44" fillId="0" borderId="0" xfId="115" applyFont="1" applyAlignment="1">
      <alignment horizontal="left" vertical="center" wrapText="1"/>
      <protection/>
    </xf>
    <xf numFmtId="178" fontId="45" fillId="0" borderId="0" xfId="115" applyNumberFormat="1" applyFont="1" applyAlignment="1">
      <alignment horizontal="right" vertical="center" indent="1"/>
      <protection/>
    </xf>
    <xf numFmtId="178" fontId="44" fillId="0" borderId="0" xfId="115" applyNumberFormat="1" applyFont="1" applyAlignment="1">
      <alignment horizontal="right" vertical="center" indent="1"/>
      <protection/>
    </xf>
    <xf numFmtId="178" fontId="97" fillId="0" borderId="0" xfId="115" applyNumberFormat="1" applyFont="1" applyAlignment="1">
      <alignment horizontal="right" vertical="center" indent="1"/>
      <protection/>
    </xf>
    <xf numFmtId="178" fontId="44" fillId="47" borderId="0" xfId="115" applyNumberFormat="1" applyFont="1" applyFill="1" applyAlignment="1">
      <alignment horizontal="right" vertical="center" indent="1"/>
      <protection/>
    </xf>
    <xf numFmtId="0" fontId="45" fillId="47" borderId="0" xfId="115" applyFont="1" applyFill="1">
      <alignment/>
      <protection/>
    </xf>
    <xf numFmtId="178" fontId="45" fillId="0" borderId="17" xfId="115" applyNumberFormat="1" applyFont="1" applyBorder="1" applyAlignment="1">
      <alignment horizontal="right" vertical="center" indent="1"/>
      <protection/>
    </xf>
    <xf numFmtId="0" fontId="44" fillId="0" borderId="17" xfId="115" applyFont="1" applyBorder="1">
      <alignment/>
      <protection/>
    </xf>
    <xf numFmtId="0" fontId="97" fillId="0" borderId="17" xfId="115" applyFont="1" applyBorder="1">
      <alignment/>
      <protection/>
    </xf>
    <xf numFmtId="0" fontId="44" fillId="0" borderId="0" xfId="115" applyFont="1" applyAlignment="1">
      <alignment vertical="center"/>
      <protection/>
    </xf>
    <xf numFmtId="0" fontId="0" fillId="0" borderId="0" xfId="0" applyFont="1" applyAlignment="1">
      <alignment/>
    </xf>
    <xf numFmtId="178" fontId="44" fillId="0" borderId="0" xfId="115" applyNumberFormat="1" applyFont="1">
      <alignment/>
      <protection/>
    </xf>
    <xf numFmtId="187" fontId="109" fillId="0" borderId="0" xfId="0" applyNumberFormat="1" applyFont="1" applyFill="1" applyBorder="1" applyAlignment="1">
      <alignment/>
    </xf>
    <xf numFmtId="175" fontId="109" fillId="0" borderId="0" xfId="0" applyNumberFormat="1" applyFont="1" applyFill="1" applyBorder="1" applyAlignment="1">
      <alignment/>
    </xf>
    <xf numFmtId="224" fontId="44" fillId="49" borderId="18" xfId="128" applyNumberFormat="1" applyFont="1" applyFill="1" applyBorder="1" applyAlignment="1">
      <alignment horizontal="right" vertical="center" indent="1"/>
    </xf>
    <xf numFmtId="194" fontId="47" fillId="0" borderId="25" xfId="115" applyNumberFormat="1" applyFont="1" applyFill="1" applyBorder="1" applyAlignment="1">
      <alignment horizontal="right" vertical="center" indent="1"/>
      <protection/>
    </xf>
    <xf numFmtId="0" fontId="44" fillId="0" borderId="0" xfId="115" applyFont="1" applyBorder="1">
      <alignment/>
      <protection/>
    </xf>
    <xf numFmtId="9" fontId="44" fillId="47" borderId="19" xfId="129" applyFont="1" applyFill="1" applyBorder="1" applyAlignment="1">
      <alignment horizontal="right" vertical="center" indent="1"/>
    </xf>
    <xf numFmtId="9" fontId="44" fillId="47" borderId="0" xfId="129" applyFont="1" applyFill="1" applyBorder="1" applyAlignment="1">
      <alignment horizontal="right" vertical="center" indent="1"/>
    </xf>
    <xf numFmtId="9" fontId="99" fillId="0" borderId="0" xfId="128" applyFont="1" applyFill="1" applyBorder="1" applyAlignment="1">
      <alignment horizontal="right" vertical="center" indent="1"/>
    </xf>
    <xf numFmtId="9" fontId="44" fillId="47" borderId="0" xfId="128" applyFont="1" applyFill="1" applyBorder="1" applyAlignment="1">
      <alignment horizontal="right" vertical="center" indent="1"/>
    </xf>
    <xf numFmtId="0" fontId="44" fillId="0" borderId="27" xfId="115" applyFont="1" applyBorder="1">
      <alignment/>
      <protection/>
    </xf>
    <xf numFmtId="178" fontId="45" fillId="47" borderId="0" xfId="115" applyNumberFormat="1" applyFont="1" applyFill="1" applyAlignment="1">
      <alignment horizontal="right" vertical="center" indent="1"/>
      <protection/>
    </xf>
    <xf numFmtId="0" fontId="109" fillId="52" borderId="0" xfId="0" applyFont="1" applyFill="1" applyAlignment="1">
      <alignment horizontal="center" vertical="center" wrapText="1"/>
    </xf>
    <xf numFmtId="0" fontId="44" fillId="0" borderId="18" xfId="115" applyFont="1" applyBorder="1" applyAlignment="1">
      <alignment vertical="center" wrapText="1"/>
      <protection/>
    </xf>
    <xf numFmtId="9" fontId="114" fillId="51" borderId="18" xfId="0" applyNumberFormat="1" applyFont="1" applyFill="1" applyBorder="1" applyAlignment="1">
      <alignment horizontal="right"/>
    </xf>
    <xf numFmtId="9" fontId="114" fillId="51" borderId="18" xfId="0" applyNumberFormat="1" applyFont="1" applyFill="1" applyBorder="1" applyAlignment="1" quotePrefix="1">
      <alignment horizontal="right"/>
    </xf>
    <xf numFmtId="0" fontId="45" fillId="0" borderId="0" xfId="115" applyFont="1" applyAlignment="1">
      <alignment horizontal="center" wrapText="1"/>
      <protection/>
    </xf>
    <xf numFmtId="0" fontId="45" fillId="0" borderId="18" xfId="0" applyFont="1" applyBorder="1" applyAlignment="1">
      <alignment vertical="center" wrapText="1"/>
    </xf>
    <xf numFmtId="0" fontId="93" fillId="0" borderId="18" xfId="0" applyFont="1" applyBorder="1" applyAlignment="1">
      <alignment vertical="center" wrapText="1"/>
    </xf>
    <xf numFmtId="0" fontId="95" fillId="0" borderId="18" xfId="0" applyFont="1" applyBorder="1" applyAlignment="1">
      <alignment horizontal="left" vertical="center"/>
    </xf>
    <xf numFmtId="0" fontId="44" fillId="0" borderId="18" xfId="0" applyFont="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Border="1" applyAlignment="1">
      <alignment vertical="center" wrapText="1"/>
    </xf>
    <xf numFmtId="0" fontId="45" fillId="0" borderId="18" xfId="0" applyFont="1" applyBorder="1" applyAlignment="1">
      <alignment vertical="center"/>
    </xf>
    <xf numFmtId="0" fontId="93" fillId="0" borderId="0" xfId="0" applyFont="1" applyAlignment="1">
      <alignment/>
    </xf>
    <xf numFmtId="0" fontId="95" fillId="0" borderId="18" xfId="0" applyFont="1" applyBorder="1" applyAlignment="1">
      <alignment vertical="center" wrapText="1"/>
    </xf>
    <xf numFmtId="0" fontId="108" fillId="0" borderId="18" xfId="0" applyFont="1" applyBorder="1" applyAlignment="1">
      <alignment horizontal="left" vertical="top"/>
    </xf>
    <xf numFmtId="0" fontId="109" fillId="0" borderId="18" xfId="0" applyFont="1" applyBorder="1" applyAlignment="1">
      <alignment horizontal="left" vertical="top"/>
    </xf>
    <xf numFmtId="0" fontId="108" fillId="0" borderId="18" xfId="0" applyFont="1" applyBorder="1" applyAlignment="1">
      <alignment horizontal="left" vertical="top" wrapText="1"/>
    </xf>
    <xf numFmtId="0" fontId="109" fillId="0" borderId="17" xfId="0" applyFont="1" applyBorder="1" applyAlignment="1">
      <alignment horizontal="left" vertical="top"/>
    </xf>
    <xf numFmtId="0" fontId="47" fillId="0" borderId="18" xfId="0" applyFont="1" applyBorder="1" applyAlignment="1">
      <alignment horizontal="left" vertical="top"/>
    </xf>
    <xf numFmtId="0" fontId="109" fillId="0" borderId="18" xfId="0" applyFont="1" applyBorder="1" applyAlignment="1">
      <alignment vertical="top" wrapText="1"/>
    </xf>
    <xf numFmtId="0" fontId="108" fillId="0" borderId="18" xfId="0" applyFont="1" applyBorder="1" applyAlignment="1">
      <alignment vertical="top"/>
    </xf>
    <xf numFmtId="0" fontId="109" fillId="0" borderId="18" xfId="0" applyFont="1" applyBorder="1" applyAlignment="1">
      <alignment horizontal="left" vertical="top" wrapText="1"/>
    </xf>
    <xf numFmtId="0" fontId="109" fillId="0" borderId="18" xfId="0" applyFont="1" applyBorder="1" applyAlignment="1">
      <alignment vertical="top"/>
    </xf>
    <xf numFmtId="0" fontId="93" fillId="0" borderId="0" xfId="115" applyFont="1" applyAlignment="1">
      <alignment horizontal="left"/>
      <protection/>
    </xf>
    <xf numFmtId="178" fontId="45" fillId="0" borderId="18" xfId="115" applyNumberFormat="1" applyFont="1" applyBorder="1" applyAlignment="1">
      <alignment vertical="center"/>
      <protection/>
    </xf>
    <xf numFmtId="0" fontId="95"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3" fillId="0" borderId="18" xfId="115" applyNumberFormat="1" applyFont="1" applyBorder="1" applyAlignment="1">
      <alignment vertical="center"/>
      <protection/>
    </xf>
    <xf numFmtId="178" fontId="45" fillId="0" borderId="0" xfId="115" applyNumberFormat="1" applyFont="1" applyAlignment="1">
      <alignment vertical="center"/>
      <protection/>
    </xf>
    <xf numFmtId="0" fontId="44" fillId="0" borderId="17" xfId="115" applyFont="1" applyBorder="1" applyAlignment="1">
      <alignment horizontal="left" vertical="center" indent="2"/>
      <protection/>
    </xf>
    <xf numFmtId="178" fontId="93" fillId="0" borderId="0" xfId="115" applyNumberFormat="1" applyFont="1" applyAlignment="1">
      <alignment vertical="center"/>
      <protection/>
    </xf>
    <xf numFmtId="178" fontId="93"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178" fontId="93"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0" fillId="0" borderId="0" xfId="115">
      <alignment/>
      <protection/>
    </xf>
    <xf numFmtId="0" fontId="44" fillId="0" borderId="18" xfId="0" applyFont="1" applyBorder="1" applyAlignment="1">
      <alignment horizontal="left" vertical="center" indent="2"/>
    </xf>
    <xf numFmtId="0" fontId="122" fillId="0" borderId="18" xfId="115" applyFont="1" applyBorder="1" applyAlignment="1">
      <alignment vertical="center" wrapText="1"/>
      <protection/>
    </xf>
    <xf numFmtId="0" fontId="50" fillId="0" borderId="0" xfId="0" applyFont="1" applyAlignment="1">
      <alignment horizontal="center" wrapText="1"/>
    </xf>
    <xf numFmtId="0" fontId="93" fillId="0" borderId="0" xfId="0" applyFont="1" applyAlignment="1">
      <alignment vertical="center"/>
    </xf>
    <xf numFmtId="0" fontId="93" fillId="0" borderId="17" xfId="0" applyFont="1" applyBorder="1" applyAlignment="1">
      <alignment vertical="center" wrapText="1"/>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3" fillId="0" borderId="19" xfId="115" applyNumberFormat="1" applyFont="1" applyBorder="1" applyAlignment="1">
      <alignment vertical="center"/>
      <protection/>
    </xf>
    <xf numFmtId="0" fontId="102" fillId="0" borderId="0" xfId="115" applyFont="1" applyAlignment="1">
      <alignment vertical="center" wrapText="1"/>
      <protection/>
    </xf>
    <xf numFmtId="0" fontId="93" fillId="0" borderId="0" xfId="0" applyFont="1" applyAlignment="1">
      <alignment vertical="center" wrapText="1"/>
    </xf>
    <xf numFmtId="0" fontId="99" fillId="0" borderId="18" xfId="0" applyFont="1" applyBorder="1" applyAlignment="1">
      <alignment horizontal="left" vertical="center" wrapText="1" indent="2"/>
    </xf>
    <xf numFmtId="0" fontId="99" fillId="0" borderId="18" xfId="0" applyFont="1" applyBorder="1" applyAlignment="1">
      <alignment vertical="center" wrapText="1"/>
    </xf>
    <xf numFmtId="0" fontId="99" fillId="0" borderId="18" xfId="115" applyFont="1" applyBorder="1" applyAlignment="1">
      <alignment horizontal="left" vertical="center" wrapText="1" indent="2"/>
      <protection/>
    </xf>
    <xf numFmtId="0" fontId="99" fillId="0" borderId="0" xfId="115" applyFont="1" applyAlignment="1">
      <alignment vertical="center" wrapText="1"/>
      <protection/>
    </xf>
    <xf numFmtId="0" fontId="107" fillId="0" borderId="0" xfId="115" applyFont="1" applyAlignment="1">
      <alignment horizontal="left" vertical="center" wrapText="1" shrinkToFit="1"/>
      <protection/>
    </xf>
    <xf numFmtId="0" fontId="108" fillId="0" borderId="17" xfId="115" applyFont="1" applyBorder="1">
      <alignment/>
      <protection/>
    </xf>
    <xf numFmtId="0" fontId="109" fillId="0" borderId="21" xfId="115" applyFont="1" applyBorder="1">
      <alignment/>
      <protection/>
    </xf>
    <xf numFmtId="0" fontId="123" fillId="0" borderId="0" xfId="115" applyFont="1" applyAlignment="1">
      <alignment vertical="center"/>
      <protection/>
    </xf>
    <xf numFmtId="0" fontId="123" fillId="0" borderId="0" xfId="115" applyFont="1">
      <alignment/>
      <protection/>
    </xf>
    <xf numFmtId="0" fontId="123" fillId="0" borderId="0" xfId="0" applyFont="1" applyAlignment="1">
      <alignment/>
    </xf>
    <xf numFmtId="0" fontId="108"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25" fontId="108" fillId="0" borderId="26" xfId="0" applyNumberFormat="1" applyFont="1" applyBorder="1" applyAlignment="1">
      <alignment horizontal="right"/>
    </xf>
    <xf numFmtId="17" fontId="108" fillId="0" borderId="26" xfId="0" applyNumberFormat="1" applyFont="1" applyBorder="1" applyAlignment="1">
      <alignment horizontal="right"/>
    </xf>
    <xf numFmtId="0" fontId="124" fillId="0" borderId="0" xfId="115" applyFont="1" applyAlignment="1">
      <alignment horizontal="left" vertical="center" wrapText="1"/>
      <protection/>
    </xf>
    <xf numFmtId="0" fontId="108" fillId="0" borderId="17" xfId="0" applyFont="1" applyBorder="1" applyAlignment="1">
      <alignment/>
    </xf>
    <xf numFmtId="0" fontId="109" fillId="0" borderId="21" xfId="0" applyFont="1" applyBorder="1" applyAlignment="1">
      <alignment/>
    </xf>
    <xf numFmtId="0" fontId="107" fillId="0" borderId="21" xfId="115" applyFont="1" applyBorder="1">
      <alignment/>
      <protection/>
    </xf>
    <xf numFmtId="0" fontId="108" fillId="0" borderId="18" xfId="115" applyFont="1" applyBorder="1">
      <alignment/>
      <protection/>
    </xf>
    <xf numFmtId="0" fontId="123" fillId="0" borderId="0" xfId="115" applyFont="1" applyAlignment="1">
      <alignment vertical="center" wrapText="1"/>
      <protection/>
    </xf>
    <xf numFmtId="0" fontId="49" fillId="0" borderId="0" xfId="0" applyFont="1" applyAlignment="1">
      <alignment horizontal="center" vertical="center" wrapText="1"/>
    </xf>
    <xf numFmtId="224" fontId="44" fillId="47" borderId="18" xfId="128" applyNumberFormat="1" applyFont="1" applyFill="1" applyBorder="1" applyAlignment="1">
      <alignment horizontal="right" vertical="center" indent="1"/>
    </xf>
    <xf numFmtId="0" fontId="44" fillId="47" borderId="0" xfId="115" applyFont="1" applyFill="1" applyAlignment="1">
      <alignment vertical="center" wrapText="1"/>
      <protection/>
    </xf>
    <xf numFmtId="166" fontId="45" fillId="0" borderId="21" xfId="115" applyNumberFormat="1" applyFont="1" applyFill="1" applyBorder="1" applyAlignment="1">
      <alignment horizontal="right" indent="1"/>
      <protection/>
    </xf>
    <xf numFmtId="166" fontId="45" fillId="0" borderId="18" xfId="115" applyNumberFormat="1" applyFont="1" applyFill="1" applyBorder="1" applyAlignment="1">
      <alignment horizontal="right" indent="1"/>
      <protection/>
    </xf>
    <xf numFmtId="3" fontId="45" fillId="0" borderId="18" xfId="115" applyNumberFormat="1" applyFont="1" applyFill="1" applyBorder="1" applyAlignment="1">
      <alignment horizontal="right" vertical="center" indent="1"/>
      <protection/>
    </xf>
    <xf numFmtId="0" fontId="125" fillId="0" borderId="30" xfId="120" applyFont="1" applyBorder="1" applyAlignment="1">
      <alignment horizontal="center" vertical="top" wrapText="1"/>
      <protection/>
    </xf>
    <xf numFmtId="0" fontId="126" fillId="0" borderId="31" xfId="120" applyFont="1" applyBorder="1" applyAlignment="1">
      <alignment horizontal="center" vertical="top" wrapText="1"/>
      <protection/>
    </xf>
    <xf numFmtId="0" fontId="126" fillId="0" borderId="32" xfId="120" applyFont="1" applyBorder="1" applyAlignment="1">
      <alignment horizontal="center" vertical="top" wrapText="1"/>
      <protection/>
    </xf>
    <xf numFmtId="0" fontId="55" fillId="0" borderId="30" xfId="120" applyFont="1" applyFill="1" applyBorder="1" applyAlignment="1">
      <alignment horizontal="center" vertical="top" wrapText="1"/>
      <protection/>
    </xf>
    <xf numFmtId="0" fontId="53" fillId="0" borderId="31" xfId="120" applyFont="1" applyFill="1" applyBorder="1" applyAlignment="1">
      <alignment horizontal="center" vertical="top" wrapText="1"/>
      <protection/>
    </xf>
    <xf numFmtId="0" fontId="53" fillId="0" borderId="32" xfId="120" applyFont="1" applyFill="1" applyBorder="1" applyAlignment="1">
      <alignment horizontal="center" vertical="top" wrapText="1"/>
      <protection/>
    </xf>
    <xf numFmtId="0" fontId="44" fillId="0" borderId="0" xfId="115" applyFont="1" applyAlignment="1">
      <alignment horizontal="left" wrapText="1"/>
      <protection/>
    </xf>
    <xf numFmtId="0" fontId="109" fillId="52" borderId="0" xfId="0" applyFont="1" applyFill="1" applyAlignment="1">
      <alignment horizontal="center" vertical="center" wrapText="1"/>
    </xf>
    <xf numFmtId="0" fontId="109" fillId="52" borderId="22" xfId="0" applyFont="1" applyFill="1" applyBorder="1" applyAlignment="1">
      <alignment horizontal="center" vertical="center" wrapText="1"/>
    </xf>
    <xf numFmtId="0" fontId="47" fillId="0" borderId="0" xfId="0" applyFont="1" applyAlignment="1">
      <alignment horizontal="left" vertical="top" wrapText="1"/>
    </xf>
    <xf numFmtId="0" fontId="109" fillId="47" borderId="0" xfId="115" applyFont="1" applyFill="1" applyAlignment="1">
      <alignment horizontal="left" vertical="top" wrapText="1"/>
      <protection/>
    </xf>
    <xf numFmtId="0" fontId="47" fillId="0" borderId="0" xfId="115" applyFont="1" applyAlignment="1">
      <alignment horizontal="left" vertical="top" wrapText="1"/>
      <protection/>
    </xf>
    <xf numFmtId="0" fontId="109" fillId="0" borderId="0" xfId="0" applyFont="1" applyAlignment="1">
      <alignment horizontal="left" vertical="top" wrapText="1"/>
    </xf>
    <xf numFmtId="0" fontId="107" fillId="52" borderId="17" xfId="0" applyFont="1" applyFill="1" applyBorder="1" applyAlignment="1">
      <alignment horizontal="center" vertical="center" wrapText="1"/>
    </xf>
    <xf numFmtId="0" fontId="109" fillId="0" borderId="0" xfId="115" applyFont="1" applyAlignment="1">
      <alignment horizontal="left" vertical="top" wrapText="1"/>
      <protection/>
    </xf>
    <xf numFmtId="0" fontId="107" fillId="52" borderId="18" xfId="0" applyFont="1" applyFill="1" applyBorder="1" applyAlignment="1">
      <alignment horizontal="center" vertical="center" wrapText="1"/>
    </xf>
    <xf numFmtId="2" fontId="107" fillId="50" borderId="25" xfId="115" applyNumberFormat="1" applyFont="1" applyFill="1" applyBorder="1" applyAlignment="1">
      <alignment horizontal="center" vertical="center"/>
      <protection/>
    </xf>
    <xf numFmtId="0" fontId="64" fillId="0" borderId="0" xfId="115" applyFont="1" applyAlignment="1">
      <alignment horizontal="center" wrapText="1"/>
      <protection/>
    </xf>
    <xf numFmtId="0" fontId="44" fillId="0" borderId="18" xfId="0" applyFont="1" applyBorder="1" applyAlignment="1">
      <alignment vertical="center" wrapText="1"/>
    </xf>
    <xf numFmtId="0" fontId="93" fillId="0" borderId="0" xfId="115" applyFont="1" applyAlignment="1">
      <alignment vertical="center" wrapText="1"/>
      <protection/>
    </xf>
    <xf numFmtId="0" fontId="44" fillId="0" borderId="18" xfId="0" applyFont="1" applyBorder="1" applyAlignment="1">
      <alignment horizontal="left" vertical="center" wrapText="1"/>
    </xf>
    <xf numFmtId="0" fontId="93" fillId="0" borderId="18" xfId="0" applyFont="1" applyBorder="1" applyAlignment="1">
      <alignment vertical="center" wrapText="1"/>
    </xf>
    <xf numFmtId="0" fontId="93" fillId="0" borderId="17" xfId="0" applyFont="1" applyBorder="1" applyAlignment="1">
      <alignment horizontal="left" vertical="center" wrapText="1"/>
    </xf>
    <xf numFmtId="0" fontId="93" fillId="0" borderId="17" xfId="0" applyFont="1" applyBorder="1" applyAlignment="1">
      <alignment vertical="center" wrapText="1"/>
    </xf>
    <xf numFmtId="0" fontId="44" fillId="0" borderId="18" xfId="0" applyFont="1" applyBorder="1" applyAlignment="1">
      <alignment vertical="center"/>
    </xf>
  </cellXfs>
  <cellStyles count="17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rmalny 7" xfId="122"/>
    <cellStyle name="Normalny 7 2" xfId="123"/>
    <cellStyle name="Note" xfId="124"/>
    <cellStyle name="Obliczenia" xfId="125"/>
    <cellStyle name="Followed Hyperlink" xfId="126"/>
    <cellStyle name="Output" xfId="127"/>
    <cellStyle name="Percent" xfId="128"/>
    <cellStyle name="Procentowy 2" xfId="129"/>
    <cellStyle name="Procentowy 2 2" xfId="130"/>
    <cellStyle name="Procentowy 3" xfId="131"/>
    <cellStyle name="Procentowy 3 2" xfId="132"/>
    <cellStyle name="Procentowy 4" xfId="133"/>
    <cellStyle name="Procentowy 5" xfId="134"/>
    <cellStyle name="SAPBEXaggData" xfId="135"/>
    <cellStyle name="SAPBEXaggDataEmph" xfId="136"/>
    <cellStyle name="SAPBEXaggItem" xfId="137"/>
    <cellStyle name="SAPBEXaggItemX" xfId="138"/>
    <cellStyle name="SAPBEXchaText" xfId="139"/>
    <cellStyle name="SAPBEXexcBad7" xfId="140"/>
    <cellStyle name="SAPBEXexcBad8" xfId="141"/>
    <cellStyle name="SAPBEXexcBad9" xfId="142"/>
    <cellStyle name="SAPBEXexcCritical4" xfId="143"/>
    <cellStyle name="SAPBEXexcCritical5" xfId="144"/>
    <cellStyle name="SAPBEXexcCritical6" xfId="145"/>
    <cellStyle name="SAPBEXexcGood1" xfId="146"/>
    <cellStyle name="SAPBEXexcGood2" xfId="147"/>
    <cellStyle name="SAPBEXexcGood3" xfId="148"/>
    <cellStyle name="SAPBEXfilterDrill" xfId="149"/>
    <cellStyle name="SAPBEXfilterItem" xfId="150"/>
    <cellStyle name="SAPBEXfilterText" xfId="151"/>
    <cellStyle name="SAPBEXformats" xfId="152"/>
    <cellStyle name="SAPBEXheaderItem" xfId="153"/>
    <cellStyle name="SAPBEXheaderText" xfId="154"/>
    <cellStyle name="SAPBEXHLevel0" xfId="155"/>
    <cellStyle name="SAPBEXHLevel0X" xfId="156"/>
    <cellStyle name="SAPBEXHLevel1" xfId="157"/>
    <cellStyle name="SAPBEXHLevel1X" xfId="158"/>
    <cellStyle name="SAPBEXHLevel2" xfId="159"/>
    <cellStyle name="SAPBEXHLevel2X" xfId="160"/>
    <cellStyle name="SAPBEXHLevel3" xfId="161"/>
    <cellStyle name="SAPBEXHLevel3X" xfId="162"/>
    <cellStyle name="SAPBEXinputData" xfId="163"/>
    <cellStyle name="SAPBEXresData" xfId="164"/>
    <cellStyle name="SAPBEXresDataEmph" xfId="165"/>
    <cellStyle name="SAPBEXresItem" xfId="166"/>
    <cellStyle name="SAPBEXresItemX" xfId="167"/>
    <cellStyle name="SAPBEXstdData" xfId="168"/>
    <cellStyle name="SAPBEXstdDataEmph" xfId="169"/>
    <cellStyle name="SAPBEXstdItem" xfId="170"/>
    <cellStyle name="SAPBEXstdItemX" xfId="171"/>
    <cellStyle name="SAPBEXtitle" xfId="172"/>
    <cellStyle name="SAPBEXundefined" xfId="173"/>
    <cellStyle name="Sheet Title" xfId="174"/>
    <cellStyle name="Suma" xfId="175"/>
    <cellStyle name="Tekst objaśnienia" xfId="176"/>
    <cellStyle name="Tekst ostrzeżenia" xfId="177"/>
    <cellStyle name="Title" xfId="178"/>
    <cellStyle name="Total" xfId="179"/>
    <cellStyle name="Tytuł" xfId="180"/>
    <cellStyle name="Uwaga" xfId="181"/>
    <cellStyle name="Currency" xfId="182"/>
    <cellStyle name="Currency [0]" xfId="183"/>
    <cellStyle name="Warning Text" xfId="184"/>
    <cellStyle name="Zły"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P52"/>
  <sheetViews>
    <sheetView showGridLines="0" zoomScale="106" zoomScaleNormal="106" zoomScalePageLayoutView="0" workbookViewId="0" topLeftCell="A1">
      <pane xSplit="1" topLeftCell="AD1" activePane="topRight" state="frozen"/>
      <selection pane="topLeft" activeCell="A1" sqref="A1"/>
      <selection pane="topRight" activeCell="AS26" sqref="AS26"/>
    </sheetView>
  </sheetViews>
  <sheetFormatPr defaultColWidth="8.57421875" defaultRowHeight="12.75"/>
  <cols>
    <col min="1" max="1" width="55.421875" style="621" customWidth="1"/>
    <col min="2" max="2" width="0.13671875" style="82" hidden="1" customWidth="1"/>
    <col min="3" max="3" width="7.00390625" style="30" customWidth="1"/>
    <col min="4" max="4" width="0.42578125" style="65" customWidth="1"/>
    <col min="5" max="5" width="7.7109375" style="65" customWidth="1"/>
    <col min="6" max="6" width="1.1484375" style="65" customWidth="1"/>
    <col min="7" max="9" width="7.421875" style="65" customWidth="1"/>
    <col min="10" max="10" width="7.421875" style="30" customWidth="1"/>
    <col min="11" max="11" width="0.5625" style="65" customWidth="1"/>
    <col min="12" max="12" width="8.00390625" style="65" customWidth="1"/>
    <col min="13" max="13" width="8.140625" style="65" customWidth="1"/>
    <col min="14" max="14" width="7.8515625" style="65" customWidth="1"/>
    <col min="15" max="15" width="7.57421875" style="65" customWidth="1"/>
    <col min="16" max="16" width="1.421875" style="65" customWidth="1"/>
    <col min="17" max="17" width="7.00390625" style="65" customWidth="1"/>
    <col min="18" max="18" width="6.8515625" style="65" customWidth="1"/>
    <col min="19" max="19" width="8.00390625" style="65" customWidth="1"/>
    <col min="20" max="20" width="7.421875" style="65" customWidth="1"/>
    <col min="21" max="21" width="0.42578125" style="65" customWidth="1"/>
    <col min="22" max="22" width="7.8515625" style="65" customWidth="1"/>
    <col min="23" max="23" width="8.00390625" style="65" customWidth="1"/>
    <col min="24" max="24" width="8.140625" style="65" customWidth="1"/>
    <col min="25" max="25" width="7.7109375" style="65" customWidth="1"/>
    <col min="26" max="26" width="0.85546875" style="65" customWidth="1"/>
    <col min="27" max="27" width="7.7109375" style="65" customWidth="1"/>
    <col min="28" max="28" width="7.57421875" style="180" customWidth="1"/>
    <col min="29" max="29" width="7.421875" style="65" customWidth="1"/>
    <col min="30" max="30" width="8.57421875" style="65" customWidth="1"/>
    <col min="31" max="31" width="0.5625" style="65" customWidth="1"/>
    <col min="32" max="32" width="8.00390625" style="65" customWidth="1"/>
    <col min="33" max="33" width="6.8515625" style="180" customWidth="1"/>
    <col min="34" max="35" width="9.00390625" style="180" customWidth="1"/>
    <col min="36" max="41" width="8.57421875" style="180" customWidth="1"/>
    <col min="42" max="88" width="8.57421875" style="65" customWidth="1"/>
    <col min="89" max="16384" width="8.57421875" style="65" customWidth="1"/>
  </cols>
  <sheetData>
    <row r="1" spans="1:42" ht="30">
      <c r="A1" s="610" t="s">
        <v>271</v>
      </c>
      <c r="B1" s="10"/>
      <c r="AP1"/>
    </row>
    <row r="2" spans="1:42" s="74" customFormat="1" ht="12" customHeight="1">
      <c r="A2" s="616"/>
      <c r="B2" s="73"/>
      <c r="C2" s="8">
        <v>2014</v>
      </c>
      <c r="D2" s="8"/>
      <c r="E2" s="8">
        <v>2015</v>
      </c>
      <c r="F2" s="8"/>
      <c r="G2" s="8" t="s">
        <v>8</v>
      </c>
      <c r="H2" s="8" t="s">
        <v>9</v>
      </c>
      <c r="I2" s="8" t="s">
        <v>10</v>
      </c>
      <c r="J2" s="8">
        <v>2016</v>
      </c>
      <c r="K2" s="8"/>
      <c r="L2" s="8" t="s">
        <v>16</v>
      </c>
      <c r="M2" s="8" t="s">
        <v>17</v>
      </c>
      <c r="N2" s="8" t="s">
        <v>20</v>
      </c>
      <c r="O2" s="8">
        <v>2017</v>
      </c>
      <c r="P2" s="8"/>
      <c r="Q2" s="8" t="s">
        <v>27</v>
      </c>
      <c r="R2" s="8" t="s">
        <v>29</v>
      </c>
      <c r="S2" s="8" t="s">
        <v>32</v>
      </c>
      <c r="T2" s="8">
        <v>2018</v>
      </c>
      <c r="V2" s="8" t="s">
        <v>39</v>
      </c>
      <c r="W2" s="8" t="s">
        <v>40</v>
      </c>
      <c r="X2" s="8" t="s">
        <v>44</v>
      </c>
      <c r="Y2" s="8">
        <v>2019</v>
      </c>
      <c r="AA2" s="8" t="s">
        <v>46</v>
      </c>
      <c r="AB2" s="2" t="s">
        <v>47</v>
      </c>
      <c r="AC2" s="2" t="s">
        <v>48</v>
      </c>
      <c r="AD2" s="2">
        <v>2020</v>
      </c>
      <c r="AE2" s="2"/>
      <c r="AF2" s="2" t="s">
        <v>51</v>
      </c>
      <c r="AG2" s="2" t="s">
        <v>54</v>
      </c>
      <c r="AH2" s="2" t="s">
        <v>55</v>
      </c>
      <c r="AI2" s="332">
        <v>2021</v>
      </c>
      <c r="AJ2" s="332" t="s">
        <v>57</v>
      </c>
      <c r="AK2" s="396" t="s">
        <v>58</v>
      </c>
      <c r="AL2" s="396" t="s">
        <v>59</v>
      </c>
      <c r="AM2" s="396">
        <v>2022</v>
      </c>
      <c r="AN2" s="396" t="s">
        <v>62</v>
      </c>
      <c r="AO2" s="396" t="s">
        <v>63</v>
      </c>
      <c r="AP2" s="396" t="s">
        <v>64</v>
      </c>
    </row>
    <row r="3" spans="1:42" s="74" customFormat="1" ht="12" customHeight="1">
      <c r="A3" s="617" t="s">
        <v>195</v>
      </c>
      <c r="B3" s="72"/>
      <c r="C3" s="75"/>
      <c r="D3" s="76"/>
      <c r="E3" s="77"/>
      <c r="F3" s="76"/>
      <c r="G3" s="77"/>
      <c r="H3" s="77"/>
      <c r="I3" s="77"/>
      <c r="J3" s="75"/>
      <c r="K3" s="76"/>
      <c r="L3" s="77"/>
      <c r="M3" s="19"/>
      <c r="N3" s="19"/>
      <c r="O3" s="19"/>
      <c r="P3" s="54"/>
      <c r="Q3" s="19"/>
      <c r="R3" s="19"/>
      <c r="S3" s="19"/>
      <c r="T3" s="19"/>
      <c r="V3" s="19"/>
      <c r="W3" s="19"/>
      <c r="X3" s="19"/>
      <c r="Y3" s="19"/>
      <c r="AA3" s="19"/>
      <c r="AB3" s="120"/>
      <c r="AC3" s="19"/>
      <c r="AD3" s="19"/>
      <c r="AE3" s="54"/>
      <c r="AF3" s="120"/>
      <c r="AG3" s="120"/>
      <c r="AH3" s="120"/>
      <c r="AI3" s="355"/>
      <c r="AJ3" s="355"/>
      <c r="AK3" s="397"/>
      <c r="AL3" s="397"/>
      <c r="AM3" s="397"/>
      <c r="AN3" s="397"/>
      <c r="AO3" s="397"/>
      <c r="AP3" s="397"/>
    </row>
    <row r="4" spans="1:42" s="74" customFormat="1" ht="12" customHeight="1">
      <c r="A4" s="618" t="s">
        <v>196</v>
      </c>
      <c r="B4" s="78"/>
      <c r="C4" s="41">
        <v>11335</v>
      </c>
      <c r="D4" s="79"/>
      <c r="E4" s="41">
        <v>12845</v>
      </c>
      <c r="F4" s="80"/>
      <c r="G4" s="41">
        <v>13219</v>
      </c>
      <c r="H4" s="81">
        <v>13602</v>
      </c>
      <c r="I4" s="81">
        <v>13893</v>
      </c>
      <c r="J4" s="75">
        <v>14379</v>
      </c>
      <c r="K4" s="80"/>
      <c r="L4" s="41">
        <v>14542</v>
      </c>
      <c r="M4" s="19">
        <v>14676</v>
      </c>
      <c r="N4" s="19">
        <v>14857</v>
      </c>
      <c r="O4" s="19">
        <v>15355</v>
      </c>
      <c r="P4" s="54"/>
      <c r="Q4" s="41">
        <v>15373</v>
      </c>
      <c r="R4" s="19">
        <v>15554</v>
      </c>
      <c r="S4" s="19">
        <v>15674</v>
      </c>
      <c r="T4" s="19">
        <v>16382</v>
      </c>
      <c r="V4" s="41">
        <v>16922</v>
      </c>
      <c r="W4" s="41">
        <v>17359</v>
      </c>
      <c r="X4" s="41">
        <v>17769</v>
      </c>
      <c r="Y4" s="41">
        <v>18092</v>
      </c>
      <c r="AA4" s="41">
        <v>18212</v>
      </c>
      <c r="AB4" s="41">
        <v>18459</v>
      </c>
      <c r="AC4" s="41">
        <v>18791</v>
      </c>
      <c r="AD4" s="41">
        <v>19162</v>
      </c>
      <c r="AE4" s="54"/>
      <c r="AF4" s="41">
        <v>19194</v>
      </c>
      <c r="AG4" s="296">
        <v>19392</v>
      </c>
      <c r="AH4" s="296">
        <v>19526</v>
      </c>
      <c r="AI4" s="296">
        <v>19744</v>
      </c>
      <c r="AJ4" s="296">
        <v>19537</v>
      </c>
      <c r="AK4" s="296">
        <v>20175</v>
      </c>
      <c r="AL4" s="296">
        <v>20507</v>
      </c>
      <c r="AM4" s="296">
        <v>21091</v>
      </c>
      <c r="AN4" s="296">
        <v>21159</v>
      </c>
      <c r="AO4" s="296">
        <v>21369</v>
      </c>
      <c r="AP4" s="429">
        <v>21695</v>
      </c>
    </row>
    <row r="5" spans="1:42" s="74" customFormat="1" ht="12" customHeight="1">
      <c r="A5" s="618" t="s">
        <v>197</v>
      </c>
      <c r="B5" s="78"/>
      <c r="C5" s="41">
        <v>490</v>
      </c>
      <c r="D5" s="79"/>
      <c r="E5" s="41">
        <v>541</v>
      </c>
      <c r="F5" s="80"/>
      <c r="G5" s="41">
        <v>563</v>
      </c>
      <c r="H5" s="81">
        <v>564</v>
      </c>
      <c r="I5" s="81">
        <v>601</v>
      </c>
      <c r="J5" s="75">
        <v>507</v>
      </c>
      <c r="K5" s="80"/>
      <c r="L5" s="41">
        <v>526</v>
      </c>
      <c r="M5" s="19">
        <v>531</v>
      </c>
      <c r="N5" s="19">
        <v>547</v>
      </c>
      <c r="O5" s="19">
        <v>507</v>
      </c>
      <c r="P5" s="54"/>
      <c r="Q5" s="41">
        <v>532</v>
      </c>
      <c r="R5" s="19">
        <v>550</v>
      </c>
      <c r="S5" s="19">
        <v>557</v>
      </c>
      <c r="T5" s="19">
        <v>576</v>
      </c>
      <c r="V5" s="41">
        <v>649</v>
      </c>
      <c r="W5" s="41">
        <v>616</v>
      </c>
      <c r="X5" s="41">
        <v>628</v>
      </c>
      <c r="Y5" s="41">
        <v>651</v>
      </c>
      <c r="AA5" s="41">
        <v>748</v>
      </c>
      <c r="AB5" s="41">
        <v>671</v>
      </c>
      <c r="AC5" s="41">
        <v>671</v>
      </c>
      <c r="AD5" s="41">
        <v>675</v>
      </c>
      <c r="AE5" s="54"/>
      <c r="AF5" s="41">
        <v>686</v>
      </c>
      <c r="AG5" s="296">
        <v>608</v>
      </c>
      <c r="AH5" s="296">
        <v>637</v>
      </c>
      <c r="AI5" s="296">
        <v>1093</v>
      </c>
      <c r="AJ5" s="296">
        <v>1101</v>
      </c>
      <c r="AK5" s="296">
        <v>1182</v>
      </c>
      <c r="AL5" s="296">
        <v>1197</v>
      </c>
      <c r="AM5" s="296">
        <v>1251</v>
      </c>
      <c r="AN5" s="296">
        <v>1308</v>
      </c>
      <c r="AO5" s="296">
        <v>1356</v>
      </c>
      <c r="AP5" s="429">
        <v>1374</v>
      </c>
    </row>
    <row r="6" spans="1:42" s="74" customFormat="1" ht="12" customHeight="1">
      <c r="A6" s="619" t="s">
        <v>198</v>
      </c>
      <c r="B6" s="82"/>
      <c r="C6" s="41">
        <f>+C4+C5</f>
        <v>11825</v>
      </c>
      <c r="D6" s="79"/>
      <c r="E6" s="41">
        <f>+E4+E5</f>
        <v>13386</v>
      </c>
      <c r="F6" s="80"/>
      <c r="G6" s="41">
        <f>+G4+G5</f>
        <v>13782</v>
      </c>
      <c r="H6" s="81">
        <f>+H4+H5</f>
        <v>14166</v>
      </c>
      <c r="I6" s="81">
        <f>+I4+I5</f>
        <v>14494</v>
      </c>
      <c r="J6" s="75">
        <f>+J4+J5</f>
        <v>14886</v>
      </c>
      <c r="K6" s="80"/>
      <c r="L6" s="41">
        <f aca="true" t="shared" si="0" ref="L6:R6">+L4+L5</f>
        <v>15068</v>
      </c>
      <c r="M6" s="19">
        <f t="shared" si="0"/>
        <v>15207</v>
      </c>
      <c r="N6" s="19">
        <f t="shared" si="0"/>
        <v>15404</v>
      </c>
      <c r="O6" s="19">
        <f t="shared" si="0"/>
        <v>15862</v>
      </c>
      <c r="P6" s="54"/>
      <c r="Q6" s="41">
        <f t="shared" si="0"/>
        <v>15905</v>
      </c>
      <c r="R6" s="19">
        <f t="shared" si="0"/>
        <v>16104</v>
      </c>
      <c r="S6" s="19">
        <f>+S4+S5</f>
        <v>16231</v>
      </c>
      <c r="T6" s="19">
        <f>+T4+T5</f>
        <v>16958</v>
      </c>
      <c r="V6" s="41">
        <f>+V4+V5</f>
        <v>17571</v>
      </c>
      <c r="W6" s="41">
        <f>+W4+W5</f>
        <v>17975</v>
      </c>
      <c r="X6" s="41">
        <f>X4+X5</f>
        <v>18397</v>
      </c>
      <c r="Y6" s="41">
        <v>18743</v>
      </c>
      <c r="AA6" s="41">
        <v>18960</v>
      </c>
      <c r="AB6" s="41">
        <v>19130</v>
      </c>
      <c r="AC6" s="41">
        <v>19462</v>
      </c>
      <c r="AD6" s="41">
        <v>19837</v>
      </c>
      <c r="AE6" s="54"/>
      <c r="AF6" s="41">
        <v>19880</v>
      </c>
      <c r="AG6" s="296">
        <v>20000</v>
      </c>
      <c r="AH6" s="296">
        <v>20163</v>
      </c>
      <c r="AI6" s="296">
        <v>20837</v>
      </c>
      <c r="AJ6" s="296">
        <v>20638</v>
      </c>
      <c r="AK6" s="296">
        <v>21357</v>
      </c>
      <c r="AL6" s="296">
        <v>21704</v>
      </c>
      <c r="AM6" s="296">
        <v>22342</v>
      </c>
      <c r="AN6" s="296">
        <v>22467</v>
      </c>
      <c r="AO6" s="296">
        <v>22725</v>
      </c>
      <c r="AP6" s="429">
        <f>+AP4+AP5</f>
        <v>23069</v>
      </c>
    </row>
    <row r="7" spans="1:42" s="74" customFormat="1" ht="12" customHeight="1">
      <c r="A7" s="618" t="s">
        <v>199</v>
      </c>
      <c r="B7" s="78"/>
      <c r="C7" s="41">
        <v>227</v>
      </c>
      <c r="D7" s="79"/>
      <c r="E7" s="41">
        <v>233</v>
      </c>
      <c r="F7" s="80"/>
      <c r="G7" s="41">
        <v>228</v>
      </c>
      <c r="H7" s="81">
        <v>225</v>
      </c>
      <c r="I7" s="81">
        <v>226</v>
      </c>
      <c r="J7" s="75">
        <v>77</v>
      </c>
      <c r="K7" s="80"/>
      <c r="L7" s="41">
        <v>72</v>
      </c>
      <c r="M7" s="19">
        <v>69</v>
      </c>
      <c r="N7" s="19">
        <v>67</v>
      </c>
      <c r="O7" s="19">
        <v>75</v>
      </c>
      <c r="P7" s="54"/>
      <c r="Q7" s="41">
        <v>71</v>
      </c>
      <c r="R7" s="19">
        <v>69</v>
      </c>
      <c r="S7" s="19">
        <v>71</v>
      </c>
      <c r="T7" s="19">
        <v>92</v>
      </c>
      <c r="V7" s="41">
        <v>90</v>
      </c>
      <c r="W7" s="41">
        <v>89</v>
      </c>
      <c r="X7" s="41">
        <v>89</v>
      </c>
      <c r="Y7" s="41">
        <v>103</v>
      </c>
      <c r="AA7" s="41">
        <v>99</v>
      </c>
      <c r="AB7" s="41">
        <v>99</v>
      </c>
      <c r="AC7" s="41">
        <v>96</v>
      </c>
      <c r="AD7" s="41">
        <v>102</v>
      </c>
      <c r="AE7" s="54"/>
      <c r="AF7" s="41">
        <v>101</v>
      </c>
      <c r="AG7" s="296">
        <v>96</v>
      </c>
      <c r="AH7" s="296">
        <v>92</v>
      </c>
      <c r="AI7" s="296">
        <v>98</v>
      </c>
      <c r="AJ7" s="296">
        <v>94</v>
      </c>
      <c r="AK7" s="296">
        <v>100</v>
      </c>
      <c r="AL7" s="296">
        <v>100</v>
      </c>
      <c r="AM7" s="296">
        <v>104</v>
      </c>
      <c r="AN7" s="296">
        <v>100</v>
      </c>
      <c r="AO7" s="296">
        <v>96</v>
      </c>
      <c r="AP7" s="429">
        <v>97</v>
      </c>
    </row>
    <row r="8" spans="1:42" s="74" customFormat="1" ht="12" customHeight="1">
      <c r="A8" s="618" t="s">
        <v>200</v>
      </c>
      <c r="B8" s="78"/>
      <c r="C8" s="41">
        <v>21</v>
      </c>
      <c r="D8" s="79"/>
      <c r="E8" s="41">
        <v>24</v>
      </c>
      <c r="F8" s="80"/>
      <c r="G8" s="41">
        <v>22</v>
      </c>
      <c r="H8" s="81">
        <v>22</v>
      </c>
      <c r="I8" s="81">
        <v>20</v>
      </c>
      <c r="J8" s="75">
        <v>24</v>
      </c>
      <c r="K8" s="80"/>
      <c r="L8" s="41">
        <v>23</v>
      </c>
      <c r="M8" s="19">
        <v>22</v>
      </c>
      <c r="N8" s="19">
        <v>22</v>
      </c>
      <c r="O8" s="19">
        <v>34</v>
      </c>
      <c r="P8" s="54"/>
      <c r="Q8" s="41">
        <v>32</v>
      </c>
      <c r="R8" s="19">
        <v>34</v>
      </c>
      <c r="S8" s="19">
        <v>34</v>
      </c>
      <c r="T8" s="19">
        <v>52</v>
      </c>
      <c r="V8" s="41">
        <v>50</v>
      </c>
      <c r="W8" s="41">
        <v>48</v>
      </c>
      <c r="X8" s="41">
        <v>47</v>
      </c>
      <c r="Y8" s="41">
        <v>61</v>
      </c>
      <c r="AA8" s="41">
        <v>60</v>
      </c>
      <c r="AB8" s="41">
        <v>58</v>
      </c>
      <c r="AC8" s="41">
        <v>57</v>
      </c>
      <c r="AD8" s="41">
        <v>65</v>
      </c>
      <c r="AE8" s="54"/>
      <c r="AF8" s="41">
        <v>64</v>
      </c>
      <c r="AG8" s="296">
        <v>62</v>
      </c>
      <c r="AH8" s="296">
        <v>59</v>
      </c>
      <c r="AI8" s="296">
        <v>60</v>
      </c>
      <c r="AJ8" s="296">
        <v>57</v>
      </c>
      <c r="AK8" s="296">
        <v>54</v>
      </c>
      <c r="AL8" s="296">
        <v>51</v>
      </c>
      <c r="AM8" s="296">
        <v>51</v>
      </c>
      <c r="AN8" s="296">
        <v>53</v>
      </c>
      <c r="AO8" s="296">
        <v>51</v>
      </c>
      <c r="AP8" s="429">
        <v>56</v>
      </c>
    </row>
    <row r="9" spans="1:42" s="74" customFormat="1" ht="12" customHeight="1">
      <c r="A9" s="619" t="s">
        <v>201</v>
      </c>
      <c r="B9" s="82"/>
      <c r="C9" s="41">
        <f>+C7+C8</f>
        <v>248</v>
      </c>
      <c r="D9" s="79"/>
      <c r="E9" s="41">
        <f>+E7+E8</f>
        <v>257</v>
      </c>
      <c r="F9" s="80"/>
      <c r="G9" s="41">
        <f>+G7+G8</f>
        <v>250</v>
      </c>
      <c r="H9" s="81">
        <f>+H7+H8</f>
        <v>247</v>
      </c>
      <c r="I9" s="81">
        <f>+I7+I8</f>
        <v>246</v>
      </c>
      <c r="J9" s="75">
        <f>+J7+J8</f>
        <v>101</v>
      </c>
      <c r="K9" s="80"/>
      <c r="L9" s="41">
        <f aca="true" t="shared" si="1" ref="L9:R9">+L7+L8</f>
        <v>95</v>
      </c>
      <c r="M9" s="19">
        <f t="shared" si="1"/>
        <v>91</v>
      </c>
      <c r="N9" s="19">
        <f t="shared" si="1"/>
        <v>89</v>
      </c>
      <c r="O9" s="19">
        <f t="shared" si="1"/>
        <v>109</v>
      </c>
      <c r="P9" s="54"/>
      <c r="Q9" s="41">
        <f t="shared" si="1"/>
        <v>103</v>
      </c>
      <c r="R9" s="19">
        <f t="shared" si="1"/>
        <v>103</v>
      </c>
      <c r="S9" s="19">
        <f>+S7+S8</f>
        <v>105</v>
      </c>
      <c r="T9" s="19">
        <f>+T7+T8</f>
        <v>144</v>
      </c>
      <c r="V9" s="41">
        <f>+V7+V8</f>
        <v>140</v>
      </c>
      <c r="W9" s="41">
        <f>+W7+W8</f>
        <v>137</v>
      </c>
      <c r="X9" s="41">
        <f>X7+X8</f>
        <v>136</v>
      </c>
      <c r="Y9" s="41">
        <v>164</v>
      </c>
      <c r="AA9" s="41">
        <v>159</v>
      </c>
      <c r="AB9" s="41">
        <v>157</v>
      </c>
      <c r="AC9" s="41">
        <v>153</v>
      </c>
      <c r="AD9" s="41">
        <v>167</v>
      </c>
      <c r="AE9" s="54"/>
      <c r="AF9" s="41">
        <v>165</v>
      </c>
      <c r="AG9" s="296">
        <v>158</v>
      </c>
      <c r="AH9" s="296">
        <v>151</v>
      </c>
      <c r="AI9" s="296">
        <v>158</v>
      </c>
      <c r="AJ9" s="296">
        <v>151</v>
      </c>
      <c r="AK9" s="296">
        <v>154</v>
      </c>
      <c r="AL9" s="296">
        <v>151</v>
      </c>
      <c r="AM9" s="296">
        <v>155</v>
      </c>
      <c r="AN9" s="296">
        <v>153</v>
      </c>
      <c r="AO9" s="296">
        <v>147</v>
      </c>
      <c r="AP9" s="429">
        <f>+AP7+AP8</f>
        <v>153</v>
      </c>
    </row>
    <row r="10" spans="1:42" s="74" customFormat="1" ht="12" customHeight="1">
      <c r="A10" s="619" t="s">
        <v>272</v>
      </c>
      <c r="B10" s="82"/>
      <c r="C10" s="41">
        <v>11778</v>
      </c>
      <c r="D10" s="79"/>
      <c r="E10" s="41">
        <v>6858</v>
      </c>
      <c r="F10" s="80"/>
      <c r="G10" s="41">
        <v>6859</v>
      </c>
      <c r="H10" s="81">
        <v>6863</v>
      </c>
      <c r="I10" s="81">
        <v>6858</v>
      </c>
      <c r="J10" s="75">
        <v>2002</v>
      </c>
      <c r="K10" s="80"/>
      <c r="L10" s="41">
        <v>2002</v>
      </c>
      <c r="M10" s="19">
        <v>3370</v>
      </c>
      <c r="N10" s="19">
        <v>3361</v>
      </c>
      <c r="O10" s="19">
        <v>3013</v>
      </c>
      <c r="P10" s="54"/>
      <c r="Q10" s="41">
        <v>3013</v>
      </c>
      <c r="R10" s="19">
        <v>3013</v>
      </c>
      <c r="S10" s="19">
        <v>3020</v>
      </c>
      <c r="T10" s="19">
        <v>3510</v>
      </c>
      <c r="V10" s="41">
        <v>3377</v>
      </c>
      <c r="W10" s="41">
        <v>3415</v>
      </c>
      <c r="X10" s="41">
        <v>3405</v>
      </c>
      <c r="Y10" s="41">
        <v>2946</v>
      </c>
      <c r="AA10" s="41">
        <v>2908</v>
      </c>
      <c r="AB10" s="41">
        <v>2823</v>
      </c>
      <c r="AC10" s="41">
        <v>2844</v>
      </c>
      <c r="AD10" s="41">
        <v>2848</v>
      </c>
      <c r="AE10" s="54"/>
      <c r="AF10" s="41">
        <v>2845</v>
      </c>
      <c r="AG10" s="296">
        <v>3851</v>
      </c>
      <c r="AH10" s="296">
        <v>3862</v>
      </c>
      <c r="AI10" s="296">
        <v>3691</v>
      </c>
      <c r="AJ10" s="296">
        <v>3691</v>
      </c>
      <c r="AK10" s="296">
        <v>3698</v>
      </c>
      <c r="AL10" s="296">
        <v>3701</v>
      </c>
      <c r="AM10" s="296">
        <v>3701</v>
      </c>
      <c r="AN10" s="296">
        <v>3816</v>
      </c>
      <c r="AO10" s="296">
        <v>3817</v>
      </c>
      <c r="AP10" s="429">
        <v>3917</v>
      </c>
    </row>
    <row r="11" spans="1:42" s="74" customFormat="1" ht="12" customHeight="1">
      <c r="A11" s="618" t="s">
        <v>266</v>
      </c>
      <c r="B11" s="78"/>
      <c r="C11" s="41">
        <v>2042</v>
      </c>
      <c r="D11" s="79"/>
      <c r="E11" s="41">
        <v>6750</v>
      </c>
      <c r="F11" s="80"/>
      <c r="G11" s="41">
        <v>6766</v>
      </c>
      <c r="H11" s="81">
        <v>7375</v>
      </c>
      <c r="I11" s="81">
        <v>7362</v>
      </c>
      <c r="J11" s="75">
        <v>7310</v>
      </c>
      <c r="K11" s="80"/>
      <c r="L11" s="41">
        <v>6996</v>
      </c>
      <c r="M11" s="19">
        <v>5511</v>
      </c>
      <c r="N11" s="19">
        <v>5505</v>
      </c>
      <c r="O11" s="19">
        <v>4972</v>
      </c>
      <c r="P11" s="54"/>
      <c r="Q11" s="41">
        <v>4780</v>
      </c>
      <c r="R11" s="19">
        <v>5580</v>
      </c>
      <c r="S11" s="19">
        <v>5559</v>
      </c>
      <c r="T11" s="19">
        <v>6262</v>
      </c>
      <c r="V11" s="41">
        <v>6623</v>
      </c>
      <c r="W11" s="41">
        <v>6641</v>
      </c>
      <c r="X11" s="41">
        <v>7273</v>
      </c>
      <c r="Y11" s="41">
        <v>7217</v>
      </c>
      <c r="AA11" s="41">
        <v>7886</v>
      </c>
      <c r="AB11" s="41">
        <v>7871</v>
      </c>
      <c r="AC11" s="41">
        <v>7750</v>
      </c>
      <c r="AD11" s="41">
        <v>7648</v>
      </c>
      <c r="AE11" s="54"/>
      <c r="AF11" s="41">
        <v>8092</v>
      </c>
      <c r="AG11" s="296">
        <v>9406</v>
      </c>
      <c r="AH11" s="296">
        <v>9410</v>
      </c>
      <c r="AI11" s="296">
        <v>8249</v>
      </c>
      <c r="AJ11" s="296">
        <v>8190</v>
      </c>
      <c r="AK11" s="296">
        <v>8605</v>
      </c>
      <c r="AL11" s="296">
        <v>9590</v>
      </c>
      <c r="AM11" s="296">
        <v>8763</v>
      </c>
      <c r="AN11" s="296">
        <v>9124</v>
      </c>
      <c r="AO11" s="296">
        <v>9580</v>
      </c>
      <c r="AP11" s="429">
        <v>10283</v>
      </c>
    </row>
    <row r="12" spans="1:42" s="74" customFormat="1" ht="12" customHeight="1">
      <c r="A12" s="618" t="s">
        <v>273</v>
      </c>
      <c r="B12" s="78"/>
      <c r="C12" s="41">
        <v>190</v>
      </c>
      <c r="D12" s="79"/>
      <c r="E12" s="41">
        <v>117</v>
      </c>
      <c r="F12" s="80"/>
      <c r="G12" s="41">
        <v>132</v>
      </c>
      <c r="H12" s="81">
        <v>67</v>
      </c>
      <c r="I12" s="81">
        <v>57</v>
      </c>
      <c r="J12" s="75">
        <v>237</v>
      </c>
      <c r="K12" s="80"/>
      <c r="L12" s="41">
        <v>162</v>
      </c>
      <c r="M12" s="19">
        <v>137</v>
      </c>
      <c r="N12" s="19">
        <v>182</v>
      </c>
      <c r="O12" s="19">
        <v>109</v>
      </c>
      <c r="P12" s="54"/>
      <c r="Q12" s="41">
        <v>212</v>
      </c>
      <c r="R12" s="19">
        <v>328</v>
      </c>
      <c r="S12" s="19">
        <v>398</v>
      </c>
      <c r="T12" s="19">
        <v>319</v>
      </c>
      <c r="V12" s="41">
        <v>249</v>
      </c>
      <c r="W12" s="41">
        <v>257</v>
      </c>
      <c r="X12" s="41">
        <v>162</v>
      </c>
      <c r="Y12" s="41">
        <v>123</v>
      </c>
      <c r="AA12" s="41">
        <v>24</v>
      </c>
      <c r="AB12" s="41">
        <v>242</v>
      </c>
      <c r="AC12" s="41">
        <v>863</v>
      </c>
      <c r="AD12" s="41">
        <v>789</v>
      </c>
      <c r="AE12" s="54"/>
      <c r="AF12" s="41">
        <v>606</v>
      </c>
      <c r="AG12" s="296">
        <v>574</v>
      </c>
      <c r="AH12" s="296">
        <v>579</v>
      </c>
      <c r="AI12" s="296">
        <v>595</v>
      </c>
      <c r="AJ12" s="296">
        <v>537</v>
      </c>
      <c r="AK12" s="296">
        <v>814</v>
      </c>
      <c r="AL12" s="296">
        <v>876</v>
      </c>
      <c r="AM12" s="296">
        <v>714</v>
      </c>
      <c r="AN12" s="296">
        <v>602</v>
      </c>
      <c r="AO12" s="296">
        <v>544</v>
      </c>
      <c r="AP12" s="429">
        <v>324</v>
      </c>
    </row>
    <row r="13" spans="1:42" s="74" customFormat="1" ht="12" customHeight="1">
      <c r="A13" s="618" t="s">
        <v>205</v>
      </c>
      <c r="B13" s="78"/>
      <c r="C13" s="41">
        <v>931</v>
      </c>
      <c r="D13" s="79"/>
      <c r="E13" s="41">
        <v>579</v>
      </c>
      <c r="F13" s="80"/>
      <c r="G13" s="41">
        <v>602</v>
      </c>
      <c r="H13" s="81">
        <v>571</v>
      </c>
      <c r="I13" s="81">
        <v>527</v>
      </c>
      <c r="J13" s="75">
        <v>576</v>
      </c>
      <c r="K13" s="80"/>
      <c r="L13" s="41">
        <v>676</v>
      </c>
      <c r="M13" s="19">
        <v>712</v>
      </c>
      <c r="N13" s="19">
        <v>741</v>
      </c>
      <c r="O13" s="19">
        <v>613</v>
      </c>
      <c r="P13" s="54"/>
      <c r="Q13" s="41">
        <v>534</v>
      </c>
      <c r="R13" s="19">
        <v>508</v>
      </c>
      <c r="S13" s="19">
        <v>419</v>
      </c>
      <c r="T13" s="19">
        <v>496</v>
      </c>
      <c r="V13" s="41">
        <v>466</v>
      </c>
      <c r="W13" s="41">
        <v>409</v>
      </c>
      <c r="X13" s="41">
        <v>379</v>
      </c>
      <c r="Y13" s="41">
        <v>403</v>
      </c>
      <c r="AA13" s="41">
        <v>307</v>
      </c>
      <c r="AB13" s="41">
        <v>534</v>
      </c>
      <c r="AC13" s="41">
        <v>489</v>
      </c>
      <c r="AD13" s="41">
        <v>589</v>
      </c>
      <c r="AE13" s="54"/>
      <c r="AF13" s="41">
        <v>566</v>
      </c>
      <c r="AG13" s="296">
        <v>702</v>
      </c>
      <c r="AH13" s="296">
        <v>702</v>
      </c>
      <c r="AI13" s="296">
        <v>581</v>
      </c>
      <c r="AJ13" s="296">
        <v>622</v>
      </c>
      <c r="AK13" s="296">
        <v>724</v>
      </c>
      <c r="AL13" s="296">
        <v>466</v>
      </c>
      <c r="AM13" s="296">
        <v>483</v>
      </c>
      <c r="AN13" s="296">
        <v>458</v>
      </c>
      <c r="AO13" s="296">
        <v>607</v>
      </c>
      <c r="AP13" s="429">
        <v>760</v>
      </c>
    </row>
    <row r="14" spans="1:42" s="74" customFormat="1" ht="12" customHeight="1">
      <c r="A14" s="618" t="s">
        <v>274</v>
      </c>
      <c r="B14" s="78"/>
      <c r="C14" s="41">
        <v>266</v>
      </c>
      <c r="D14" s="79"/>
      <c r="E14" s="41">
        <v>291</v>
      </c>
      <c r="F14" s="80"/>
      <c r="G14" s="41">
        <v>317</v>
      </c>
      <c r="H14" s="81">
        <v>318</v>
      </c>
      <c r="I14" s="81">
        <v>319</v>
      </c>
      <c r="J14" s="75">
        <v>320</v>
      </c>
      <c r="K14" s="80"/>
      <c r="L14" s="41">
        <v>346</v>
      </c>
      <c r="M14" s="19">
        <v>346</v>
      </c>
      <c r="N14" s="19">
        <v>348</v>
      </c>
      <c r="O14" s="19">
        <v>337</v>
      </c>
      <c r="P14" s="54"/>
      <c r="Q14" s="41">
        <v>375</v>
      </c>
      <c r="R14" s="19">
        <v>365</v>
      </c>
      <c r="S14" s="19">
        <v>366</v>
      </c>
      <c r="T14" s="19">
        <v>376</v>
      </c>
      <c r="V14" s="41">
        <v>430</v>
      </c>
      <c r="W14" s="41">
        <v>402</v>
      </c>
      <c r="X14" s="41">
        <v>404</v>
      </c>
      <c r="Y14" s="41">
        <v>457</v>
      </c>
      <c r="AA14" s="41">
        <v>426</v>
      </c>
      <c r="AB14" s="41">
        <v>486</v>
      </c>
      <c r="AC14" s="41">
        <v>479</v>
      </c>
      <c r="AD14" s="41">
        <v>433</v>
      </c>
      <c r="AE14" s="54"/>
      <c r="AF14" s="41">
        <v>436</v>
      </c>
      <c r="AG14" s="296">
        <v>518</v>
      </c>
      <c r="AH14" s="296">
        <v>521</v>
      </c>
      <c r="AI14" s="296">
        <v>506</v>
      </c>
      <c r="AJ14" s="296">
        <v>549</v>
      </c>
      <c r="AK14" s="296">
        <v>541</v>
      </c>
      <c r="AL14" s="296">
        <v>487</v>
      </c>
      <c r="AM14" s="296">
        <v>432</v>
      </c>
      <c r="AN14" s="296">
        <v>444</v>
      </c>
      <c r="AO14" s="296">
        <v>444</v>
      </c>
      <c r="AP14" s="429">
        <v>452</v>
      </c>
    </row>
    <row r="15" spans="1:42" s="74" customFormat="1" ht="12" customHeight="1">
      <c r="A15" s="619" t="s">
        <v>207</v>
      </c>
      <c r="B15" s="82"/>
      <c r="C15" s="41">
        <f>+C12+C13+C14+C11</f>
        <v>3429</v>
      </c>
      <c r="D15" s="79"/>
      <c r="E15" s="41">
        <f>+E12+E13+E14+E11</f>
        <v>7737</v>
      </c>
      <c r="F15" s="80"/>
      <c r="G15" s="41">
        <f>+G12+G13+G14+G11</f>
        <v>7817</v>
      </c>
      <c r="H15" s="81">
        <f>+H12+H13+H14+H11</f>
        <v>8331</v>
      </c>
      <c r="I15" s="81">
        <f>+I12+I13+I14+I11</f>
        <v>8265</v>
      </c>
      <c r="J15" s="75">
        <f>+J12+J13+J14+J11</f>
        <v>8443</v>
      </c>
      <c r="K15" s="80"/>
      <c r="L15" s="41">
        <f aca="true" t="shared" si="2" ref="L15:R15">+L12+L13+L14+L11</f>
        <v>8180</v>
      </c>
      <c r="M15" s="19">
        <f t="shared" si="2"/>
        <v>6706</v>
      </c>
      <c r="N15" s="19">
        <f t="shared" si="2"/>
        <v>6776</v>
      </c>
      <c r="O15" s="19">
        <f t="shared" si="2"/>
        <v>6031</v>
      </c>
      <c r="P15" s="54"/>
      <c r="Q15" s="41">
        <f t="shared" si="2"/>
        <v>5901</v>
      </c>
      <c r="R15" s="19">
        <f t="shared" si="2"/>
        <v>6781</v>
      </c>
      <c r="S15" s="19">
        <f>+S12+S13+S14+S11</f>
        <v>6742</v>
      </c>
      <c r="T15" s="19">
        <f>+T12+T13+T14+T11</f>
        <v>7453</v>
      </c>
      <c r="V15" s="41">
        <f>+V12+V13+V14+V11</f>
        <v>7768</v>
      </c>
      <c r="W15" s="41">
        <f>+W11+W12+W13+W14</f>
        <v>7709</v>
      </c>
      <c r="X15" s="41">
        <f>X11+X12+X13+X14</f>
        <v>8218</v>
      </c>
      <c r="Y15" s="41">
        <v>8200</v>
      </c>
      <c r="AA15" s="41">
        <v>8643</v>
      </c>
      <c r="AB15" s="41">
        <v>9133</v>
      </c>
      <c r="AC15" s="41">
        <f>+AC11+AC12+AC13+AC14</f>
        <v>9581</v>
      </c>
      <c r="AD15" s="41">
        <v>9459</v>
      </c>
      <c r="AE15" s="54"/>
      <c r="AF15" s="41">
        <v>9700</v>
      </c>
      <c r="AG15" s="296">
        <v>11200</v>
      </c>
      <c r="AH15" s="296">
        <v>11212</v>
      </c>
      <c r="AI15" s="296">
        <v>9931</v>
      </c>
      <c r="AJ15" s="296">
        <f>SUM(AJ11:AJ14)</f>
        <v>9898</v>
      </c>
      <c r="AK15" s="296">
        <f>SUM(AK11:AK14)</f>
        <v>10684</v>
      </c>
      <c r="AL15" s="296">
        <f>SUM(AL11:AL14)</f>
        <v>11419</v>
      </c>
      <c r="AM15" s="296">
        <f>SUM(AM11:AM14)</f>
        <v>10392</v>
      </c>
      <c r="AN15" s="296">
        <v>10628</v>
      </c>
      <c r="AO15" s="296">
        <v>11175</v>
      </c>
      <c r="AP15" s="429">
        <f>+AP11+AP12+AP13+AP14</f>
        <v>11819</v>
      </c>
    </row>
    <row r="16" spans="1:42" s="74" customFormat="1" ht="12" customHeight="1">
      <c r="A16" s="619" t="s">
        <v>209</v>
      </c>
      <c r="B16" s="82"/>
      <c r="C16" s="41">
        <v>111</v>
      </c>
      <c r="D16" s="79"/>
      <c r="E16" s="41">
        <v>141</v>
      </c>
      <c r="F16" s="80"/>
      <c r="G16" s="41">
        <v>145</v>
      </c>
      <c r="H16" s="81">
        <v>197</v>
      </c>
      <c r="I16" s="81">
        <v>108</v>
      </c>
      <c r="J16" s="75">
        <v>140</v>
      </c>
      <c r="K16" s="80"/>
      <c r="L16" s="41">
        <v>129</v>
      </c>
      <c r="M16" s="19">
        <v>57</v>
      </c>
      <c r="N16" s="19">
        <v>30</v>
      </c>
      <c r="O16" s="19">
        <v>31</v>
      </c>
      <c r="P16" s="54"/>
      <c r="Q16" s="41">
        <v>110</v>
      </c>
      <c r="R16" s="19">
        <v>140</v>
      </c>
      <c r="S16" s="19">
        <v>94</v>
      </c>
      <c r="T16" s="19">
        <v>9</v>
      </c>
      <c r="V16" s="41">
        <v>93</v>
      </c>
      <c r="W16" s="41">
        <v>0</v>
      </c>
      <c r="X16" s="41">
        <v>12</v>
      </c>
      <c r="Y16" s="41">
        <v>0</v>
      </c>
      <c r="AA16" s="41">
        <v>8</v>
      </c>
      <c r="AB16" s="41">
        <v>0</v>
      </c>
      <c r="AC16" s="41">
        <v>0</v>
      </c>
      <c r="AD16" s="41">
        <v>0</v>
      </c>
      <c r="AE16" s="54"/>
      <c r="AF16" s="41">
        <v>135</v>
      </c>
      <c r="AG16" s="296">
        <v>0</v>
      </c>
      <c r="AH16" s="296">
        <v>0</v>
      </c>
      <c r="AI16" s="296">
        <v>0</v>
      </c>
      <c r="AJ16" s="296">
        <v>0</v>
      </c>
      <c r="AK16" s="296">
        <v>0</v>
      </c>
      <c r="AL16" s="296">
        <v>0</v>
      </c>
      <c r="AM16" s="296">
        <v>0</v>
      </c>
      <c r="AN16" s="296">
        <v>0</v>
      </c>
      <c r="AO16" s="296">
        <v>0</v>
      </c>
      <c r="AP16" s="429">
        <v>0</v>
      </c>
    </row>
    <row r="17" spans="1:42" s="74" customFormat="1" ht="12" customHeight="1">
      <c r="A17" s="619" t="s">
        <v>208</v>
      </c>
      <c r="B17" s="82"/>
      <c r="C17" s="41">
        <v>48</v>
      </c>
      <c r="D17" s="79"/>
      <c r="E17" s="41">
        <v>27</v>
      </c>
      <c r="F17" s="80"/>
      <c r="G17" s="41">
        <v>19</v>
      </c>
      <c r="H17" s="81">
        <v>20</v>
      </c>
      <c r="I17" s="81">
        <v>23</v>
      </c>
      <c r="J17" s="75">
        <v>22</v>
      </c>
      <c r="K17" s="80"/>
      <c r="L17" s="41">
        <v>25</v>
      </c>
      <c r="M17" s="19">
        <v>27</v>
      </c>
      <c r="N17" s="19">
        <v>24</v>
      </c>
      <c r="O17" s="19">
        <v>25</v>
      </c>
      <c r="P17" s="54"/>
      <c r="Q17" s="41">
        <v>24</v>
      </c>
      <c r="R17" s="19">
        <v>22</v>
      </c>
      <c r="S17" s="19">
        <v>35</v>
      </c>
      <c r="T17" s="19">
        <v>24</v>
      </c>
      <c r="V17" s="41">
        <v>28</v>
      </c>
      <c r="W17" s="41">
        <v>27</v>
      </c>
      <c r="X17" s="41">
        <v>34</v>
      </c>
      <c r="Y17" s="41">
        <v>58</v>
      </c>
      <c r="AA17" s="41">
        <v>59</v>
      </c>
      <c r="AB17" s="41">
        <v>60</v>
      </c>
      <c r="AC17" s="41">
        <v>64</v>
      </c>
      <c r="AD17" s="41">
        <v>56</v>
      </c>
      <c r="AE17" s="54"/>
      <c r="AF17" s="41">
        <v>39</v>
      </c>
      <c r="AG17" s="296">
        <v>63</v>
      </c>
      <c r="AH17" s="296">
        <v>64</v>
      </c>
      <c r="AI17" s="296">
        <v>54</v>
      </c>
      <c r="AJ17" s="296">
        <v>51</v>
      </c>
      <c r="AK17" s="296">
        <v>52</v>
      </c>
      <c r="AL17" s="296">
        <v>56</v>
      </c>
      <c r="AM17" s="296">
        <v>117</v>
      </c>
      <c r="AN17" s="296">
        <v>110</v>
      </c>
      <c r="AO17" s="296">
        <v>125</v>
      </c>
      <c r="AP17" s="429">
        <v>123</v>
      </c>
    </row>
    <row r="18" spans="1:42" s="74" customFormat="1" ht="12" customHeight="1">
      <c r="A18" s="577" t="s">
        <v>210</v>
      </c>
      <c r="B18" s="72"/>
      <c r="C18" s="38">
        <f>+C6+C9+C10+C12+C13+C14+C16+C17+C11</f>
        <v>27439</v>
      </c>
      <c r="D18" s="83"/>
      <c r="E18" s="38">
        <f>+E6+E9+E10+E12+E13+E14+E16+E17+E11</f>
        <v>28406</v>
      </c>
      <c r="F18" s="84"/>
      <c r="G18" s="38">
        <f>+G6+G9+G10+G12+G13+G14+G16+G17+G11</f>
        <v>28872</v>
      </c>
      <c r="H18" s="85">
        <f>+H6+H9+H10+H12+H13+H14+H16+H17+H11</f>
        <v>29824</v>
      </c>
      <c r="I18" s="85">
        <f>+I6+I9+I10+I12+I13+I14+I16+I17+I11</f>
        <v>29994</v>
      </c>
      <c r="J18" s="86">
        <f>+J6+J9+J10+J12+J13+J14+J16+J17+J11</f>
        <v>25594</v>
      </c>
      <c r="K18" s="84"/>
      <c r="L18" s="38">
        <f aca="true" t="shared" si="3" ref="L18:T18">+L6+L9+L10+L12+L13+L14+L16+L17+L11</f>
        <v>25499</v>
      </c>
      <c r="M18" s="16">
        <f t="shared" si="3"/>
        <v>25458</v>
      </c>
      <c r="N18" s="16">
        <f t="shared" si="3"/>
        <v>25684</v>
      </c>
      <c r="O18" s="16">
        <f t="shared" si="3"/>
        <v>25071</v>
      </c>
      <c r="P18" s="53"/>
      <c r="Q18" s="38">
        <f t="shared" si="3"/>
        <v>25056</v>
      </c>
      <c r="R18" s="16">
        <f t="shared" si="3"/>
        <v>26163</v>
      </c>
      <c r="S18" s="16">
        <f t="shared" si="3"/>
        <v>26227</v>
      </c>
      <c r="T18" s="16">
        <f t="shared" si="3"/>
        <v>28098</v>
      </c>
      <c r="V18" s="38">
        <f>+V6+V9+V10+V12+V13+V14+V16+V17+V11</f>
        <v>28977</v>
      </c>
      <c r="W18" s="38">
        <f>+W6+W9+W10+W12+W13+W14+W16+W17+W11</f>
        <v>29263</v>
      </c>
      <c r="X18" s="38">
        <f>X6+X9+X10+X15+X16+X17</f>
        <v>30202</v>
      </c>
      <c r="Y18" s="38">
        <v>30111</v>
      </c>
      <c r="AA18" s="38">
        <v>30737</v>
      </c>
      <c r="AB18" s="38">
        <v>31303</v>
      </c>
      <c r="AC18" s="38">
        <f>+AC6+AC9+AC10+AC15+AC17</f>
        <v>32104</v>
      </c>
      <c r="AD18" s="38">
        <f>AD6+AD9+AD10+AD15+AD16+AD17</f>
        <v>32367</v>
      </c>
      <c r="AE18" s="53"/>
      <c r="AF18" s="38">
        <v>32764</v>
      </c>
      <c r="AG18" s="297">
        <f>+AG6+AG9+AG10+AG15+AG16+AG17</f>
        <v>35272</v>
      </c>
      <c r="AH18" s="297">
        <f>AH6+AH9+AH10+AH15+AH16+AH17</f>
        <v>35452</v>
      </c>
      <c r="AI18" s="297">
        <f>+AI6+AI9+AI10+AI15+AI16+AI17</f>
        <v>34671</v>
      </c>
      <c r="AJ18" s="297">
        <f>+AJ6+AJ9+AJ10+AJ15+AJ16+AJ17</f>
        <v>34429</v>
      </c>
      <c r="AK18" s="297">
        <f>+AK6+AK9+AK10+AK15+AK16+AK17</f>
        <v>35945</v>
      </c>
      <c r="AL18" s="297">
        <f>+AL6+AL9+AL10+AL15+AL16+AL17</f>
        <v>37031</v>
      </c>
      <c r="AM18" s="297">
        <f>+AM6+AM9+AM10+AM15+AM16+AM17</f>
        <v>36707</v>
      </c>
      <c r="AN18" s="297">
        <v>37174</v>
      </c>
      <c r="AO18" s="297">
        <f>+AO6+AO9+AO10+AO11+AO12+AO13+AO14+AO17</f>
        <v>37989</v>
      </c>
      <c r="AP18" s="430">
        <f>+AP6+AP9+AP10+AP15+AP16+AP17</f>
        <v>39081</v>
      </c>
    </row>
    <row r="19" spans="1:42" s="74" customFormat="1" ht="12" customHeight="1">
      <c r="A19" s="619" t="s">
        <v>211</v>
      </c>
      <c r="B19" s="82"/>
      <c r="C19" s="41">
        <v>2377</v>
      </c>
      <c r="D19" s="79"/>
      <c r="E19" s="41">
        <v>2601</v>
      </c>
      <c r="F19" s="80"/>
      <c r="G19" s="41">
        <v>3156</v>
      </c>
      <c r="H19" s="81">
        <v>3261</v>
      </c>
      <c r="I19" s="81">
        <v>3408</v>
      </c>
      <c r="J19" s="75">
        <v>2726</v>
      </c>
      <c r="K19" s="80"/>
      <c r="L19" s="41">
        <v>3472</v>
      </c>
      <c r="M19" s="19">
        <v>3783</v>
      </c>
      <c r="N19" s="19">
        <v>4154</v>
      </c>
      <c r="O19" s="19">
        <v>3857</v>
      </c>
      <c r="P19" s="54"/>
      <c r="Q19" s="41">
        <v>4651</v>
      </c>
      <c r="R19" s="19">
        <v>4627</v>
      </c>
      <c r="S19" s="19">
        <v>4588</v>
      </c>
      <c r="T19" s="19">
        <v>4102</v>
      </c>
      <c r="V19" s="41">
        <v>4484</v>
      </c>
      <c r="W19" s="41">
        <v>4362</v>
      </c>
      <c r="X19" s="41">
        <v>4329</v>
      </c>
      <c r="Y19" s="41">
        <v>3783</v>
      </c>
      <c r="AA19" s="41">
        <v>3996</v>
      </c>
      <c r="AB19" s="41">
        <v>3624</v>
      </c>
      <c r="AC19" s="41">
        <v>3910</v>
      </c>
      <c r="AD19" s="41">
        <v>3555</v>
      </c>
      <c r="AE19" s="54"/>
      <c r="AF19" s="41">
        <v>4522</v>
      </c>
      <c r="AG19" s="296">
        <v>4883</v>
      </c>
      <c r="AH19" s="296">
        <v>5209</v>
      </c>
      <c r="AI19" s="296">
        <v>5436</v>
      </c>
      <c r="AJ19" s="296">
        <v>5838</v>
      </c>
      <c r="AK19" s="296">
        <v>6534</v>
      </c>
      <c r="AL19" s="296">
        <v>6673</v>
      </c>
      <c r="AM19" s="296">
        <v>7523</v>
      </c>
      <c r="AN19" s="296">
        <v>7340</v>
      </c>
      <c r="AO19" s="296">
        <v>7876</v>
      </c>
      <c r="AP19" s="429">
        <v>7769</v>
      </c>
    </row>
    <row r="20" spans="1:42" s="74" customFormat="1" ht="12" customHeight="1">
      <c r="A20" s="619" t="s">
        <v>212</v>
      </c>
      <c r="B20" s="82"/>
      <c r="C20" s="41">
        <v>1407</v>
      </c>
      <c r="D20" s="79"/>
      <c r="E20" s="41">
        <v>1000</v>
      </c>
      <c r="F20" s="80"/>
      <c r="G20" s="41">
        <v>511</v>
      </c>
      <c r="H20" s="81">
        <v>629</v>
      </c>
      <c r="I20" s="81">
        <v>450</v>
      </c>
      <c r="J20" s="75">
        <v>676</v>
      </c>
      <c r="K20" s="80"/>
      <c r="L20" s="41">
        <v>750</v>
      </c>
      <c r="M20" s="19">
        <v>665</v>
      </c>
      <c r="N20" s="19">
        <v>700</v>
      </c>
      <c r="O20" s="19">
        <v>1034</v>
      </c>
      <c r="P20" s="54"/>
      <c r="Q20" s="41">
        <v>730</v>
      </c>
      <c r="R20" s="19">
        <v>683</v>
      </c>
      <c r="S20" s="19">
        <v>782</v>
      </c>
      <c r="T20" s="19">
        <v>310</v>
      </c>
      <c r="V20" s="41">
        <v>540</v>
      </c>
      <c r="W20" s="41">
        <v>206</v>
      </c>
      <c r="X20" s="41">
        <v>242</v>
      </c>
      <c r="Y20" s="41">
        <v>243</v>
      </c>
      <c r="AA20" s="41">
        <v>153</v>
      </c>
      <c r="AB20" s="41">
        <v>334</v>
      </c>
      <c r="AC20" s="41">
        <v>406</v>
      </c>
      <c r="AD20" s="41">
        <v>351</v>
      </c>
      <c r="AE20" s="54"/>
      <c r="AF20" s="41">
        <v>427</v>
      </c>
      <c r="AG20" s="296">
        <v>490</v>
      </c>
      <c r="AH20" s="296">
        <v>773</v>
      </c>
      <c r="AI20" s="296">
        <v>600</v>
      </c>
      <c r="AJ20" s="296">
        <v>995</v>
      </c>
      <c r="AK20" s="296">
        <v>1018</v>
      </c>
      <c r="AL20" s="296">
        <v>740</v>
      </c>
      <c r="AM20" s="296">
        <v>620</v>
      </c>
      <c r="AN20" s="296">
        <v>691</v>
      </c>
      <c r="AO20" s="296">
        <v>436</v>
      </c>
      <c r="AP20" s="429">
        <v>1099</v>
      </c>
    </row>
    <row r="21" spans="1:42" s="74" customFormat="1" ht="12" customHeight="1">
      <c r="A21" s="619" t="s">
        <v>213</v>
      </c>
      <c r="B21" s="82"/>
      <c r="C21" s="41">
        <v>312</v>
      </c>
      <c r="D21" s="79"/>
      <c r="E21" s="41">
        <v>412</v>
      </c>
      <c r="F21" s="80"/>
      <c r="G21" s="41">
        <v>264</v>
      </c>
      <c r="H21" s="81">
        <v>256</v>
      </c>
      <c r="I21" s="81">
        <v>204</v>
      </c>
      <c r="J21" s="75">
        <v>188</v>
      </c>
      <c r="K21" s="80"/>
      <c r="L21" s="41">
        <v>148</v>
      </c>
      <c r="M21" s="19">
        <v>166</v>
      </c>
      <c r="N21" s="19">
        <v>162</v>
      </c>
      <c r="O21" s="19">
        <v>214</v>
      </c>
      <c r="P21" s="54"/>
      <c r="Q21" s="41">
        <v>160</v>
      </c>
      <c r="R21" s="19">
        <v>166</v>
      </c>
      <c r="S21" s="19">
        <v>167</v>
      </c>
      <c r="T21" s="19">
        <v>275</v>
      </c>
      <c r="V21" s="41">
        <v>171</v>
      </c>
      <c r="W21" s="41">
        <v>222</v>
      </c>
      <c r="X21" s="41">
        <v>336</v>
      </c>
      <c r="Y21" s="41">
        <v>435</v>
      </c>
      <c r="AA21" s="41">
        <v>355</v>
      </c>
      <c r="AB21" s="41">
        <v>343</v>
      </c>
      <c r="AC21" s="41">
        <v>282</v>
      </c>
      <c r="AD21" s="41">
        <v>217</v>
      </c>
      <c r="AE21" s="54"/>
      <c r="AF21" s="41">
        <v>337</v>
      </c>
      <c r="AG21" s="296">
        <v>181</v>
      </c>
      <c r="AH21" s="296">
        <v>194</v>
      </c>
      <c r="AI21" s="296">
        <v>301</v>
      </c>
      <c r="AJ21" s="296">
        <v>193</v>
      </c>
      <c r="AK21" s="296">
        <v>249</v>
      </c>
      <c r="AL21" s="296">
        <v>227</v>
      </c>
      <c r="AM21" s="296">
        <v>312</v>
      </c>
      <c r="AN21" s="296">
        <v>319</v>
      </c>
      <c r="AO21" s="296">
        <v>296</v>
      </c>
      <c r="AP21" s="429">
        <v>274</v>
      </c>
    </row>
    <row r="22" spans="1:42" s="74" customFormat="1" ht="12" customHeight="1">
      <c r="A22" s="619" t="s">
        <v>204</v>
      </c>
      <c r="B22" s="82"/>
      <c r="C22" s="41">
        <v>267</v>
      </c>
      <c r="D22" s="79"/>
      <c r="E22" s="41">
        <v>6</v>
      </c>
      <c r="F22" s="80"/>
      <c r="G22" s="41">
        <v>80</v>
      </c>
      <c r="H22" s="81">
        <v>33</v>
      </c>
      <c r="I22" s="81">
        <v>56</v>
      </c>
      <c r="J22" s="75">
        <v>72</v>
      </c>
      <c r="K22" s="80"/>
      <c r="L22" s="41">
        <v>76</v>
      </c>
      <c r="M22" s="19">
        <v>99</v>
      </c>
      <c r="N22" s="19">
        <v>109</v>
      </c>
      <c r="O22" s="19">
        <v>195</v>
      </c>
      <c r="P22" s="54"/>
      <c r="Q22" s="41">
        <v>263</v>
      </c>
      <c r="R22" s="19">
        <v>158</v>
      </c>
      <c r="S22" s="19">
        <v>243</v>
      </c>
      <c r="T22" s="19">
        <v>300</v>
      </c>
      <c r="V22" s="41">
        <v>139</v>
      </c>
      <c r="W22" s="41">
        <v>323</v>
      </c>
      <c r="X22" s="41">
        <v>363</v>
      </c>
      <c r="Y22" s="41">
        <v>291</v>
      </c>
      <c r="AA22" s="41">
        <v>892</v>
      </c>
      <c r="AB22" s="41">
        <v>222</v>
      </c>
      <c r="AC22" s="41">
        <v>269</v>
      </c>
      <c r="AD22" s="41">
        <v>210</v>
      </c>
      <c r="AE22" s="54"/>
      <c r="AF22" s="41">
        <v>216</v>
      </c>
      <c r="AG22" s="296">
        <v>293</v>
      </c>
      <c r="AH22" s="296">
        <v>333</v>
      </c>
      <c r="AI22" s="296">
        <v>254</v>
      </c>
      <c r="AJ22" s="296">
        <v>192</v>
      </c>
      <c r="AK22" s="296">
        <v>587</v>
      </c>
      <c r="AL22" s="296">
        <v>826</v>
      </c>
      <c r="AM22" s="296">
        <v>796</v>
      </c>
      <c r="AN22" s="296">
        <v>611</v>
      </c>
      <c r="AO22" s="296">
        <v>766</v>
      </c>
      <c r="AP22" s="429">
        <v>439</v>
      </c>
    </row>
    <row r="23" spans="1:42" s="74" customFormat="1" ht="12" customHeight="1">
      <c r="A23" s="619" t="s">
        <v>215</v>
      </c>
      <c r="B23" s="82"/>
      <c r="C23" s="41">
        <v>425</v>
      </c>
      <c r="D23" s="79"/>
      <c r="E23" s="41">
        <v>537</v>
      </c>
      <c r="F23" s="80"/>
      <c r="G23" s="41">
        <v>680</v>
      </c>
      <c r="H23" s="81">
        <v>618</v>
      </c>
      <c r="I23" s="81">
        <v>595</v>
      </c>
      <c r="J23" s="75">
        <v>362</v>
      </c>
      <c r="K23" s="80"/>
      <c r="L23" s="41">
        <v>258</v>
      </c>
      <c r="M23" s="19">
        <v>439</v>
      </c>
      <c r="N23" s="19">
        <v>399</v>
      </c>
      <c r="O23" s="19">
        <v>342</v>
      </c>
      <c r="P23" s="54"/>
      <c r="Q23" s="41">
        <v>405</v>
      </c>
      <c r="R23" s="19">
        <v>693</v>
      </c>
      <c r="S23" s="19">
        <f>476+93</f>
        <v>569</v>
      </c>
      <c r="T23" s="19">
        <v>538</v>
      </c>
      <c r="V23" s="41">
        <v>623</v>
      </c>
      <c r="W23" s="41">
        <f>751+194</f>
        <v>945</v>
      </c>
      <c r="X23" s="41">
        <f>853+126</f>
        <v>979</v>
      </c>
      <c r="Y23" s="41">
        <v>610</v>
      </c>
      <c r="AA23" s="41">
        <v>865</v>
      </c>
      <c r="AB23" s="41">
        <f>265+295+192</f>
        <v>752</v>
      </c>
      <c r="AC23" s="41">
        <v>523</v>
      </c>
      <c r="AD23" s="41">
        <f>128+268+66+45</f>
        <v>507</v>
      </c>
      <c r="AE23" s="54"/>
      <c r="AF23" s="41">
        <f>12+382+115</f>
        <v>509</v>
      </c>
      <c r="AG23" s="296">
        <f>4+113+162</f>
        <v>279</v>
      </c>
      <c r="AH23" s="296">
        <f>21+124+103</f>
        <v>248</v>
      </c>
      <c r="AI23" s="296">
        <v>864</v>
      </c>
      <c r="AJ23" s="296">
        <v>428</v>
      </c>
      <c r="AK23" s="296">
        <v>844</v>
      </c>
      <c r="AL23" s="296">
        <v>1091</v>
      </c>
      <c r="AM23" s="296">
        <v>1052</v>
      </c>
      <c r="AN23" s="296">
        <v>784</v>
      </c>
      <c r="AO23" s="296">
        <v>1027</v>
      </c>
      <c r="AP23" s="429">
        <v>1324</v>
      </c>
    </row>
    <row r="24" spans="1:42" s="74" customFormat="1" ht="12" customHeight="1">
      <c r="A24" s="619" t="s">
        <v>216</v>
      </c>
      <c r="B24" s="82"/>
      <c r="C24" s="41">
        <v>85</v>
      </c>
      <c r="D24" s="79"/>
      <c r="E24" s="41">
        <v>158</v>
      </c>
      <c r="F24" s="80"/>
      <c r="G24" s="41">
        <v>261</v>
      </c>
      <c r="H24" s="81">
        <v>392</v>
      </c>
      <c r="I24" s="81">
        <v>359</v>
      </c>
      <c r="J24" s="75">
        <v>482</v>
      </c>
      <c r="K24" s="80"/>
      <c r="L24" s="41">
        <v>345</v>
      </c>
      <c r="M24" s="19">
        <v>118</v>
      </c>
      <c r="N24" s="19">
        <v>124</v>
      </c>
      <c r="O24" s="19">
        <v>234</v>
      </c>
      <c r="P24" s="54"/>
      <c r="Q24" s="41">
        <v>215</v>
      </c>
      <c r="R24" s="19">
        <v>249</v>
      </c>
      <c r="S24" s="19">
        <v>429</v>
      </c>
      <c r="T24" s="19">
        <v>627</v>
      </c>
      <c r="V24" s="41">
        <v>327</v>
      </c>
      <c r="W24" s="41">
        <v>726</v>
      </c>
      <c r="X24" s="41">
        <v>337</v>
      </c>
      <c r="Y24" s="41">
        <v>516</v>
      </c>
      <c r="AA24" s="41">
        <v>1899</v>
      </c>
      <c r="AB24" s="41">
        <v>1707</v>
      </c>
      <c r="AC24" s="41">
        <v>781</v>
      </c>
      <c r="AD24" s="41">
        <v>2135</v>
      </c>
      <c r="AE24" s="54"/>
      <c r="AF24" s="41">
        <v>1155</v>
      </c>
      <c r="AG24" s="296">
        <v>712</v>
      </c>
      <c r="AH24" s="296">
        <v>393</v>
      </c>
      <c r="AI24" s="296">
        <v>1332</v>
      </c>
      <c r="AJ24" s="296">
        <v>2654</v>
      </c>
      <c r="AK24" s="296">
        <v>2029</v>
      </c>
      <c r="AL24" s="296">
        <v>1703</v>
      </c>
      <c r="AM24" s="296">
        <v>985</v>
      </c>
      <c r="AN24" s="296">
        <v>1271</v>
      </c>
      <c r="AO24" s="296">
        <v>1575</v>
      </c>
      <c r="AP24" s="429">
        <v>1081</v>
      </c>
    </row>
    <row r="25" spans="1:42" s="74" customFormat="1" ht="12" customHeight="1">
      <c r="A25" s="577" t="s">
        <v>218</v>
      </c>
      <c r="B25" s="72"/>
      <c r="C25" s="38">
        <f>+C19+C20+C21+C22+C23+C24</f>
        <v>4873</v>
      </c>
      <c r="D25" s="83"/>
      <c r="E25" s="38">
        <f>+E19+E20+E21+E22+E23+E24</f>
        <v>4714</v>
      </c>
      <c r="F25" s="84"/>
      <c r="G25" s="38">
        <f>+G19+G20+G21+G22+G23+G24</f>
        <v>4952</v>
      </c>
      <c r="H25" s="85">
        <f>+H19+H20+H21+H22+H23+H24</f>
        <v>5189</v>
      </c>
      <c r="I25" s="85">
        <f>+I19+I20+I21+I22+I23+I24</f>
        <v>5072</v>
      </c>
      <c r="J25" s="86">
        <f>+J19+J20+J21+J22+J23+J24</f>
        <v>4506</v>
      </c>
      <c r="K25" s="84"/>
      <c r="L25" s="38">
        <f aca="true" t="shared" si="4" ref="L25:R25">+L19+L20+L21+L22+L23+L24</f>
        <v>5049</v>
      </c>
      <c r="M25" s="16">
        <f t="shared" si="4"/>
        <v>5270</v>
      </c>
      <c r="N25" s="16">
        <f t="shared" si="4"/>
        <v>5648</v>
      </c>
      <c r="O25" s="16">
        <f t="shared" si="4"/>
        <v>5876</v>
      </c>
      <c r="P25" s="53"/>
      <c r="Q25" s="38">
        <f t="shared" si="4"/>
        <v>6424</v>
      </c>
      <c r="R25" s="16">
        <f t="shared" si="4"/>
        <v>6576</v>
      </c>
      <c r="S25" s="16">
        <f>+S19+S20+S21+S22+S23+S24</f>
        <v>6778</v>
      </c>
      <c r="T25" s="16">
        <f>+T19+T20+T21+T22+T23+T24</f>
        <v>6152</v>
      </c>
      <c r="V25" s="38">
        <f>+V19+V20+V21+V22+V23+V24</f>
        <v>6284</v>
      </c>
      <c r="W25" s="38">
        <f>+W19+W20+W21+W22+W23+W24</f>
        <v>6784</v>
      </c>
      <c r="X25" s="38">
        <f>X19+X20+X21+X22+X23+X24</f>
        <v>6586</v>
      </c>
      <c r="Y25" s="38">
        <v>5878</v>
      </c>
      <c r="AA25" s="38">
        <v>8160</v>
      </c>
      <c r="AB25" s="38">
        <v>6982</v>
      </c>
      <c r="AC25" s="38">
        <f>+AC19+AC20+AC21+AC22+AC23+AC24</f>
        <v>6171</v>
      </c>
      <c r="AD25" s="38">
        <f>AD19+AD20+AD21+AD22+AD23+AD24</f>
        <v>6975</v>
      </c>
      <c r="AE25" s="53"/>
      <c r="AF25" s="38">
        <v>7166</v>
      </c>
      <c r="AG25" s="297">
        <f>+AG19+AG20+AG21+AG22+AG23+AG24</f>
        <v>6838</v>
      </c>
      <c r="AH25" s="297">
        <f aca="true" t="shared" si="5" ref="AH25:AM25">AH19+AH20+AH21+AH22+AH23+AH24</f>
        <v>7150</v>
      </c>
      <c r="AI25" s="297">
        <f t="shared" si="5"/>
        <v>8787</v>
      </c>
      <c r="AJ25" s="297">
        <f t="shared" si="5"/>
        <v>10300</v>
      </c>
      <c r="AK25" s="297">
        <f t="shared" si="5"/>
        <v>11261</v>
      </c>
      <c r="AL25" s="297">
        <f t="shared" si="5"/>
        <v>11260</v>
      </c>
      <c r="AM25" s="297">
        <f t="shared" si="5"/>
        <v>11288</v>
      </c>
      <c r="AN25" s="297">
        <v>11016</v>
      </c>
      <c r="AO25" s="297">
        <f>+AO19+AO20+AO21+AO22+AO23+AO24</f>
        <v>11976</v>
      </c>
      <c r="AP25" s="430">
        <f>+AP19+AP20+AP21+AP22+AP23+AP24</f>
        <v>11986</v>
      </c>
    </row>
    <row r="26" spans="1:42" s="87" customFormat="1" ht="12" customHeight="1">
      <c r="A26" s="577" t="s">
        <v>219</v>
      </c>
      <c r="B26" s="72"/>
      <c r="C26" s="38">
        <f>C18+C25</f>
        <v>32312</v>
      </c>
      <c r="D26" s="83"/>
      <c r="E26" s="38">
        <f>E18+E25</f>
        <v>33120</v>
      </c>
      <c r="F26" s="84"/>
      <c r="G26" s="38">
        <f>G18+G25</f>
        <v>33824</v>
      </c>
      <c r="H26" s="85">
        <f>H18+H25</f>
        <v>35013</v>
      </c>
      <c r="I26" s="85">
        <f>I18+I25</f>
        <v>35066</v>
      </c>
      <c r="J26" s="86">
        <f>J18+J25</f>
        <v>30100</v>
      </c>
      <c r="K26" s="84"/>
      <c r="L26" s="38">
        <f aca="true" t="shared" si="6" ref="L26:R26">L18+L25</f>
        <v>30548</v>
      </c>
      <c r="M26" s="16">
        <f t="shared" si="6"/>
        <v>30728</v>
      </c>
      <c r="N26" s="16">
        <f t="shared" si="6"/>
        <v>31332</v>
      </c>
      <c r="O26" s="16">
        <f t="shared" si="6"/>
        <v>30947</v>
      </c>
      <c r="P26" s="53"/>
      <c r="Q26" s="38">
        <f t="shared" si="6"/>
        <v>31480</v>
      </c>
      <c r="R26" s="16">
        <f t="shared" si="6"/>
        <v>32739</v>
      </c>
      <c r="S26" s="16">
        <f>S18+S25</f>
        <v>33005</v>
      </c>
      <c r="T26" s="16">
        <f>T18+T25</f>
        <v>34250</v>
      </c>
      <c r="U26" s="74"/>
      <c r="V26" s="38">
        <f>V18+V25</f>
        <v>35261</v>
      </c>
      <c r="W26" s="38">
        <f>W18+W25</f>
        <v>36047</v>
      </c>
      <c r="X26" s="38">
        <f>X18+X25</f>
        <v>36788</v>
      </c>
      <c r="Y26" s="38">
        <v>35989</v>
      </c>
      <c r="Z26" s="74"/>
      <c r="AA26" s="38">
        <v>38897</v>
      </c>
      <c r="AB26" s="38">
        <v>38285</v>
      </c>
      <c r="AC26" s="38">
        <f>+AC25+AC18</f>
        <v>38275</v>
      </c>
      <c r="AD26" s="38">
        <f>AD18+AD25</f>
        <v>39342</v>
      </c>
      <c r="AE26" s="53"/>
      <c r="AF26" s="38">
        <v>39930</v>
      </c>
      <c r="AG26" s="282">
        <f>+AG18+AG25</f>
        <v>42110</v>
      </c>
      <c r="AH26" s="282">
        <f aca="true" t="shared" si="7" ref="AH26:AM26">AH18+AH25</f>
        <v>42602</v>
      </c>
      <c r="AI26" s="372">
        <f t="shared" si="7"/>
        <v>43458</v>
      </c>
      <c r="AJ26" s="382">
        <f t="shared" si="7"/>
        <v>44729</v>
      </c>
      <c r="AK26" s="424">
        <f t="shared" si="7"/>
        <v>47206</v>
      </c>
      <c r="AL26" s="424">
        <f t="shared" si="7"/>
        <v>48291</v>
      </c>
      <c r="AM26" s="424">
        <f t="shared" si="7"/>
        <v>47995</v>
      </c>
      <c r="AN26" s="424">
        <v>48190</v>
      </c>
      <c r="AO26" s="424">
        <f>+AO18+AO25</f>
        <v>49965</v>
      </c>
      <c r="AP26" s="427">
        <f>+AP25+AP18</f>
        <v>51067</v>
      </c>
    </row>
    <row r="27" spans="1:42" s="89" customFormat="1" ht="11.25">
      <c r="A27" s="616"/>
      <c r="B27" s="73"/>
      <c r="C27" s="88"/>
      <c r="D27" s="83"/>
      <c r="E27" s="84"/>
      <c r="F27" s="84"/>
      <c r="G27" s="84"/>
      <c r="H27" s="84"/>
      <c r="I27" s="84"/>
      <c r="J27" s="88"/>
      <c r="K27" s="84"/>
      <c r="L27" s="84"/>
      <c r="M27" s="53"/>
      <c r="N27" s="53"/>
      <c r="O27" s="53"/>
      <c r="P27" s="53"/>
      <c r="Q27" s="53"/>
      <c r="R27" s="53"/>
      <c r="S27" s="53"/>
      <c r="T27" s="53"/>
      <c r="V27" s="53"/>
      <c r="W27" s="53"/>
      <c r="X27" s="165"/>
      <c r="Y27" s="165"/>
      <c r="AA27" s="165"/>
      <c r="AB27" s="165"/>
      <c r="AC27" s="165"/>
      <c r="AD27" s="165"/>
      <c r="AE27" s="165"/>
      <c r="AF27" s="165"/>
      <c r="AG27" s="165"/>
      <c r="AH27" s="165"/>
      <c r="AI27" s="365"/>
      <c r="AJ27" s="365"/>
      <c r="AK27" s="399"/>
      <c r="AL27" s="422"/>
      <c r="AM27" s="422"/>
      <c r="AN27" s="422"/>
      <c r="AO27" s="422"/>
      <c r="AP27" s="570"/>
    </row>
    <row r="28" spans="1:42" s="74" customFormat="1" ht="12" customHeight="1">
      <c r="A28" s="617" t="s">
        <v>220</v>
      </c>
      <c r="B28" s="72"/>
      <c r="C28" s="90"/>
      <c r="D28" s="91"/>
      <c r="E28" s="92"/>
      <c r="F28" s="84"/>
      <c r="G28" s="92"/>
      <c r="H28" s="92"/>
      <c r="I28" s="92"/>
      <c r="J28" s="90"/>
      <c r="K28" s="84"/>
      <c r="L28" s="92"/>
      <c r="M28" s="40"/>
      <c r="N28" s="40"/>
      <c r="O28" s="40"/>
      <c r="P28" s="54"/>
      <c r="Q28" s="40"/>
      <c r="R28" s="40"/>
      <c r="S28" s="40"/>
      <c r="T28" s="40"/>
      <c r="V28" s="40"/>
      <c r="W28" s="40"/>
      <c r="X28" s="155"/>
      <c r="Y28" s="155"/>
      <c r="AA28" s="155"/>
      <c r="AB28" s="155"/>
      <c r="AC28" s="155"/>
      <c r="AD28" s="155"/>
      <c r="AE28" s="163"/>
      <c r="AF28" s="155"/>
      <c r="AG28" s="155"/>
      <c r="AH28" s="155"/>
      <c r="AI28" s="358"/>
      <c r="AJ28" s="358"/>
      <c r="AK28" s="398"/>
      <c r="AL28" s="421"/>
      <c r="AM28" s="421"/>
      <c r="AN28" s="421"/>
      <c r="AO28" s="421"/>
      <c r="AP28" s="421"/>
    </row>
    <row r="29" spans="1:42" s="74" customFormat="1" ht="12" customHeight="1">
      <c r="A29" s="619" t="s">
        <v>221</v>
      </c>
      <c r="B29" s="82"/>
      <c r="C29" s="41">
        <v>2000</v>
      </c>
      <c r="D29" s="79"/>
      <c r="E29" s="41">
        <v>2000</v>
      </c>
      <c r="F29" s="80"/>
      <c r="G29" s="41">
        <v>2000</v>
      </c>
      <c r="H29" s="81">
        <v>2000</v>
      </c>
      <c r="I29" s="81">
        <v>2000</v>
      </c>
      <c r="J29" s="75">
        <v>2000</v>
      </c>
      <c r="K29" s="80"/>
      <c r="L29" s="41">
        <v>2000</v>
      </c>
      <c r="M29" s="19">
        <v>2000</v>
      </c>
      <c r="N29" s="19">
        <v>2000</v>
      </c>
      <c r="O29" s="19">
        <v>2000</v>
      </c>
      <c r="P29" s="54"/>
      <c r="Q29" s="41">
        <v>2000</v>
      </c>
      <c r="R29" s="19">
        <v>2000</v>
      </c>
      <c r="S29" s="19">
        <v>2000</v>
      </c>
      <c r="T29" s="19">
        <v>2000</v>
      </c>
      <c r="V29" s="41">
        <v>2000</v>
      </c>
      <c r="W29" s="41">
        <v>2000</v>
      </c>
      <c r="X29" s="41">
        <v>2000</v>
      </c>
      <c r="Y29" s="41">
        <v>2000</v>
      </c>
      <c r="AA29" s="41">
        <v>2000</v>
      </c>
      <c r="AB29" s="41">
        <v>2000</v>
      </c>
      <c r="AC29" s="41">
        <v>2000</v>
      </c>
      <c r="AD29" s="41">
        <v>2000</v>
      </c>
      <c r="AE29" s="54"/>
      <c r="AF29" s="41">
        <v>2000</v>
      </c>
      <c r="AG29" s="296">
        <v>2000</v>
      </c>
      <c r="AH29" s="296">
        <v>2000</v>
      </c>
      <c r="AI29" s="296">
        <v>2000</v>
      </c>
      <c r="AJ29" s="296">
        <v>2000</v>
      </c>
      <c r="AK29" s="296">
        <v>2000</v>
      </c>
      <c r="AL29" s="296">
        <v>2000</v>
      </c>
      <c r="AM29" s="296">
        <v>2000</v>
      </c>
      <c r="AN29" s="296">
        <v>2000</v>
      </c>
      <c r="AO29" s="296">
        <v>2000</v>
      </c>
      <c r="AP29" s="429">
        <v>2000</v>
      </c>
    </row>
    <row r="30" spans="1:42" s="74" customFormat="1" ht="12" customHeight="1">
      <c r="A30" s="619" t="s">
        <v>222</v>
      </c>
      <c r="B30" s="82"/>
      <c r="C30" s="41">
        <v>366</v>
      </c>
      <c r="D30" s="79"/>
      <c r="E30" s="41">
        <v>-103</v>
      </c>
      <c r="F30" s="80"/>
      <c r="G30" s="41">
        <v>9</v>
      </c>
      <c r="H30" s="81">
        <v>-83</v>
      </c>
      <c r="I30" s="81">
        <v>-88</v>
      </c>
      <c r="J30" s="75">
        <v>-196</v>
      </c>
      <c r="K30" s="80"/>
      <c r="L30" s="41">
        <v>8</v>
      </c>
      <c r="M30" s="19">
        <v>87</v>
      </c>
      <c r="N30" s="19">
        <v>144</v>
      </c>
      <c r="O30" s="19">
        <v>142</v>
      </c>
      <c r="P30" s="54"/>
      <c r="Q30" s="41">
        <v>-439</v>
      </c>
      <c r="R30" s="19">
        <v>-518</v>
      </c>
      <c r="S30" s="19">
        <v>-419</v>
      </c>
      <c r="T30" s="19">
        <v>-307</v>
      </c>
      <c r="V30" s="41">
        <v>-552</v>
      </c>
      <c r="W30" s="41">
        <v>-437</v>
      </c>
      <c r="X30" s="41">
        <v>-730</v>
      </c>
      <c r="Y30" s="41">
        <v>-698</v>
      </c>
      <c r="AA30" s="41">
        <v>-748</v>
      </c>
      <c r="AB30" s="41">
        <v>-860</v>
      </c>
      <c r="AC30" s="41">
        <v>-743</v>
      </c>
      <c r="AD30" s="41">
        <v>-1390</v>
      </c>
      <c r="AE30" s="54"/>
      <c r="AF30" s="41">
        <v>-2151</v>
      </c>
      <c r="AG30" s="296">
        <v>-2041</v>
      </c>
      <c r="AH30" s="296">
        <v>-1412</v>
      </c>
      <c r="AI30" s="296">
        <v>-1670</v>
      </c>
      <c r="AJ30" s="296">
        <v>-1921</v>
      </c>
      <c r="AK30" s="296">
        <v>-643</v>
      </c>
      <c r="AL30" s="296">
        <v>-1049</v>
      </c>
      <c r="AM30" s="296">
        <v>-395</v>
      </c>
      <c r="AN30" s="296">
        <v>-435</v>
      </c>
      <c r="AO30" s="296">
        <v>222</v>
      </c>
      <c r="AP30" s="429">
        <v>63</v>
      </c>
    </row>
    <row r="31" spans="1:42" s="74" customFormat="1" ht="12" customHeight="1">
      <c r="A31" s="619" t="s">
        <v>275</v>
      </c>
      <c r="B31" s="82"/>
      <c r="C31" s="41">
        <v>-401</v>
      </c>
      <c r="D31" s="79"/>
      <c r="E31" s="41">
        <v>-342</v>
      </c>
      <c r="F31" s="80"/>
      <c r="G31" s="41">
        <v>-382</v>
      </c>
      <c r="H31" s="81">
        <v>-409</v>
      </c>
      <c r="I31" s="81">
        <v>-323</v>
      </c>
      <c r="J31" s="75">
        <v>-243</v>
      </c>
      <c r="K31" s="80"/>
      <c r="L31" s="41">
        <v>-407</v>
      </c>
      <c r="M31" s="19">
        <v>-386</v>
      </c>
      <c r="N31" s="19">
        <v>-364</v>
      </c>
      <c r="O31" s="19">
        <v>-348</v>
      </c>
      <c r="P31" s="54"/>
      <c r="Q31" s="41">
        <v>-495</v>
      </c>
      <c r="R31" s="19">
        <v>-537</v>
      </c>
      <c r="S31" s="19">
        <v>-499</v>
      </c>
      <c r="T31" s="19">
        <v>-593</v>
      </c>
      <c r="V31" s="41">
        <v>-645</v>
      </c>
      <c r="W31" s="41">
        <v>-713</v>
      </c>
      <c r="X31" s="41">
        <v>-616</v>
      </c>
      <c r="Y31" s="41">
        <v>-622</v>
      </c>
      <c r="AA31" s="41">
        <v>-772</v>
      </c>
      <c r="AB31" s="41">
        <v>-855</v>
      </c>
      <c r="AC31" s="41">
        <v>-887</v>
      </c>
      <c r="AD31" s="41">
        <v>-872</v>
      </c>
      <c r="AE31" s="54"/>
      <c r="AF31" s="41">
        <v>-903</v>
      </c>
      <c r="AG31" s="296">
        <v>-819</v>
      </c>
      <c r="AH31" s="296">
        <v>-717</v>
      </c>
      <c r="AI31" s="296">
        <v>-329</v>
      </c>
      <c r="AJ31" s="296">
        <v>-440</v>
      </c>
      <c r="AK31" s="296">
        <v>-428</v>
      </c>
      <c r="AL31" s="296">
        <v>-602</v>
      </c>
      <c r="AM31" s="296">
        <v>-702</v>
      </c>
      <c r="AN31" s="296">
        <v>-749</v>
      </c>
      <c r="AO31" s="296">
        <v>-771</v>
      </c>
      <c r="AP31" s="429">
        <v>-821</v>
      </c>
    </row>
    <row r="32" spans="1:42" s="74" customFormat="1" ht="12" customHeight="1">
      <c r="A32" s="619" t="s">
        <v>224</v>
      </c>
      <c r="B32" s="82"/>
      <c r="C32" s="41">
        <v>22312</v>
      </c>
      <c r="D32" s="79"/>
      <c r="E32" s="41">
        <v>18724</v>
      </c>
      <c r="F32" s="80"/>
      <c r="G32" s="41">
        <v>19094</v>
      </c>
      <c r="H32" s="81">
        <v>19092</v>
      </c>
      <c r="I32" s="81">
        <v>19706</v>
      </c>
      <c r="J32" s="75">
        <v>14339</v>
      </c>
      <c r="K32" s="80"/>
      <c r="L32" s="41">
        <v>15144</v>
      </c>
      <c r="M32" s="19">
        <v>15449</v>
      </c>
      <c r="N32" s="19">
        <v>15989</v>
      </c>
      <c r="O32" s="19">
        <v>15462</v>
      </c>
      <c r="P32" s="54"/>
      <c r="Q32" s="41">
        <v>16363</v>
      </c>
      <c r="R32" s="19">
        <v>16820</v>
      </c>
      <c r="S32" s="19">
        <v>17263</v>
      </c>
      <c r="T32" s="19">
        <v>17945</v>
      </c>
      <c r="V32" s="41">
        <v>18640</v>
      </c>
      <c r="W32" s="41">
        <v>19172</v>
      </c>
      <c r="X32" s="41">
        <v>19608</v>
      </c>
      <c r="Y32" s="41">
        <v>19209</v>
      </c>
      <c r="AA32" s="41">
        <v>19608</v>
      </c>
      <c r="AB32" s="41">
        <v>19956</v>
      </c>
      <c r="AC32" s="41">
        <v>20365</v>
      </c>
      <c r="AD32" s="41">
        <v>20988</v>
      </c>
      <c r="AE32" s="54"/>
      <c r="AF32" s="41">
        <v>21945</v>
      </c>
      <c r="AG32" s="296">
        <v>24896</v>
      </c>
      <c r="AH32" s="296">
        <v>25522</v>
      </c>
      <c r="AI32" s="296">
        <v>25839</v>
      </c>
      <c r="AJ32" s="296">
        <v>27164</v>
      </c>
      <c r="AK32" s="296">
        <v>28047</v>
      </c>
      <c r="AL32" s="296">
        <v>28777</v>
      </c>
      <c r="AM32" s="296">
        <v>28772</v>
      </c>
      <c r="AN32" s="296">
        <v>29254</v>
      </c>
      <c r="AO32" s="296">
        <v>29779</v>
      </c>
      <c r="AP32" s="429">
        <v>30309</v>
      </c>
    </row>
    <row r="33" spans="1:42" s="74" customFormat="1" ht="12" customHeight="1">
      <c r="A33" s="577" t="s">
        <v>227</v>
      </c>
      <c r="B33" s="72"/>
      <c r="C33" s="38">
        <f>+C29+C30+C31+C32</f>
        <v>24277</v>
      </c>
      <c r="D33" s="83"/>
      <c r="E33" s="38">
        <f>+E29+E30+E31+E32</f>
        <v>20279</v>
      </c>
      <c r="F33" s="84"/>
      <c r="G33" s="38">
        <f>+G29+G30+G31+G32</f>
        <v>20721</v>
      </c>
      <c r="H33" s="85">
        <f>+H29+H30+H31+H32</f>
        <v>20600</v>
      </c>
      <c r="I33" s="85">
        <f>+I29+I30+I31+I32</f>
        <v>21295</v>
      </c>
      <c r="J33" s="86">
        <f>+J29+J30+J31+J32</f>
        <v>15900</v>
      </c>
      <c r="K33" s="84"/>
      <c r="L33" s="38">
        <f aca="true" t="shared" si="8" ref="L33:R33">+L29+L30+L31+L32</f>
        <v>16745</v>
      </c>
      <c r="M33" s="16">
        <f t="shared" si="8"/>
        <v>17150</v>
      </c>
      <c r="N33" s="16">
        <f t="shared" si="8"/>
        <v>17769</v>
      </c>
      <c r="O33" s="16">
        <f t="shared" si="8"/>
        <v>17256</v>
      </c>
      <c r="P33" s="53"/>
      <c r="Q33" s="38">
        <f t="shared" si="8"/>
        <v>17429</v>
      </c>
      <c r="R33" s="16">
        <f t="shared" si="8"/>
        <v>17765</v>
      </c>
      <c r="S33" s="16">
        <f>+S29+S30+S31+S32</f>
        <v>18345</v>
      </c>
      <c r="T33" s="16">
        <f>+T29+T30+T31+T32</f>
        <v>19045</v>
      </c>
      <c r="V33" s="38">
        <f>+V29+V30+V31+V32</f>
        <v>19443</v>
      </c>
      <c r="W33" s="38">
        <f>+W29+W30+W31+W32</f>
        <v>20022</v>
      </c>
      <c r="X33" s="38">
        <f>X29+X30+X31+X32</f>
        <v>20262</v>
      </c>
      <c r="Y33" s="38">
        <v>19889</v>
      </c>
      <c r="AA33" s="38">
        <v>20088</v>
      </c>
      <c r="AB33" s="38">
        <v>20241</v>
      </c>
      <c r="AC33" s="38">
        <f>+AC29+AC30+AC31+AC32</f>
        <v>20735</v>
      </c>
      <c r="AD33" s="38">
        <f>AD29+AD30+AD31+AD32</f>
        <v>20726</v>
      </c>
      <c r="AE33" s="53"/>
      <c r="AF33" s="38">
        <f>AF29+AF30+AF31+AF32</f>
        <v>20891</v>
      </c>
      <c r="AG33" s="297">
        <f>+AG29+AG30+AG31+AG32</f>
        <v>24036</v>
      </c>
      <c r="AH33" s="297">
        <f aca="true" t="shared" si="9" ref="AH33:AM33">AH29+AH30+AH31+AH32</f>
        <v>25393</v>
      </c>
      <c r="AI33" s="297">
        <f t="shared" si="9"/>
        <v>25840</v>
      </c>
      <c r="AJ33" s="297">
        <f t="shared" si="9"/>
        <v>26803</v>
      </c>
      <c r="AK33" s="297">
        <f t="shared" si="9"/>
        <v>28976</v>
      </c>
      <c r="AL33" s="297">
        <f t="shared" si="9"/>
        <v>29126</v>
      </c>
      <c r="AM33" s="297">
        <f t="shared" si="9"/>
        <v>29675</v>
      </c>
      <c r="AN33" s="297">
        <v>30070</v>
      </c>
      <c r="AO33" s="297">
        <f>+AO29+AO30+AO31+AO32</f>
        <v>31230</v>
      </c>
      <c r="AP33" s="430">
        <f>+AP29+AP30+AP31+AP32</f>
        <v>31551</v>
      </c>
    </row>
    <row r="34" spans="1:42" s="74" customFormat="1" ht="20.25" customHeight="1">
      <c r="A34" s="618" t="s">
        <v>276</v>
      </c>
      <c r="B34" s="78"/>
      <c r="C34" s="41">
        <v>1052</v>
      </c>
      <c r="D34" s="79"/>
      <c r="E34" s="41">
        <v>4724</v>
      </c>
      <c r="F34" s="80"/>
      <c r="G34" s="41">
        <v>4268</v>
      </c>
      <c r="H34" s="81">
        <v>5678</v>
      </c>
      <c r="I34" s="81">
        <v>6339</v>
      </c>
      <c r="J34" s="75">
        <v>6423</v>
      </c>
      <c r="K34" s="80"/>
      <c r="L34" s="41">
        <v>5480</v>
      </c>
      <c r="M34" s="19">
        <v>5382</v>
      </c>
      <c r="N34" s="19">
        <v>5684</v>
      </c>
      <c r="O34" s="19">
        <v>6085</v>
      </c>
      <c r="P34" s="54"/>
      <c r="Q34" s="41">
        <v>5863</v>
      </c>
      <c r="R34" s="19">
        <v>7343</v>
      </c>
      <c r="S34" s="19">
        <v>7012</v>
      </c>
      <c r="T34" s="19">
        <v>6758</v>
      </c>
      <c r="V34" s="41">
        <v>6637</v>
      </c>
      <c r="W34" s="41">
        <v>7652</v>
      </c>
      <c r="X34" s="41">
        <v>7525</v>
      </c>
      <c r="Y34" s="41">
        <v>7215</v>
      </c>
      <c r="AA34" s="41">
        <v>8845</v>
      </c>
      <c r="AB34" s="41">
        <v>7304</v>
      </c>
      <c r="AC34" s="41">
        <v>6711</v>
      </c>
      <c r="AD34" s="41">
        <v>6525</v>
      </c>
      <c r="AE34" s="54"/>
      <c r="AF34" s="41">
        <v>5695</v>
      </c>
      <c r="AG34" s="296">
        <v>5096</v>
      </c>
      <c r="AH34" s="296">
        <v>5143</v>
      </c>
      <c r="AI34" s="296">
        <v>5180</v>
      </c>
      <c r="AJ34" s="296">
        <v>4559</v>
      </c>
      <c r="AK34" s="296">
        <v>4590</v>
      </c>
      <c r="AL34" s="296">
        <v>5298</v>
      </c>
      <c r="AM34" s="296">
        <v>5000</v>
      </c>
      <c r="AN34" s="296">
        <v>5633</v>
      </c>
      <c r="AO34" s="296">
        <v>4784</v>
      </c>
      <c r="AP34" s="429">
        <v>5074</v>
      </c>
    </row>
    <row r="35" spans="1:42" s="74" customFormat="1" ht="12" customHeight="1">
      <c r="A35" s="618" t="s">
        <v>204</v>
      </c>
      <c r="B35" s="78"/>
      <c r="C35" s="41">
        <v>122</v>
      </c>
      <c r="D35" s="93"/>
      <c r="E35" s="41">
        <v>158</v>
      </c>
      <c r="F35" s="80"/>
      <c r="G35" s="41">
        <v>88</v>
      </c>
      <c r="H35" s="81">
        <v>108</v>
      </c>
      <c r="I35" s="81">
        <v>37</v>
      </c>
      <c r="J35" s="75">
        <v>149</v>
      </c>
      <c r="K35" s="80"/>
      <c r="L35" s="41">
        <v>51</v>
      </c>
      <c r="M35" s="19">
        <v>28</v>
      </c>
      <c r="N35" s="19">
        <v>76</v>
      </c>
      <c r="O35" s="19">
        <v>84</v>
      </c>
      <c r="P35" s="54"/>
      <c r="Q35" s="41">
        <v>80</v>
      </c>
      <c r="R35" s="19">
        <v>97</v>
      </c>
      <c r="S35" s="19">
        <v>82</v>
      </c>
      <c r="T35" s="19">
        <v>68</v>
      </c>
      <c r="V35" s="41">
        <v>84</v>
      </c>
      <c r="W35" s="41">
        <v>52</v>
      </c>
      <c r="X35" s="41">
        <v>324</v>
      </c>
      <c r="Y35" s="41">
        <v>131</v>
      </c>
      <c r="AA35" s="41">
        <v>537</v>
      </c>
      <c r="AB35" s="41">
        <v>532</v>
      </c>
      <c r="AC35" s="41">
        <v>789</v>
      </c>
      <c r="AD35" s="41">
        <v>981</v>
      </c>
      <c r="AE35" s="54"/>
      <c r="AF35" s="41">
        <v>1227</v>
      </c>
      <c r="AG35" s="296">
        <v>1155</v>
      </c>
      <c r="AH35" s="296">
        <v>974</v>
      </c>
      <c r="AI35" s="296">
        <v>1133</v>
      </c>
      <c r="AJ35" s="296">
        <v>1163</v>
      </c>
      <c r="AK35" s="296">
        <v>1078</v>
      </c>
      <c r="AL35" s="296">
        <v>1543</v>
      </c>
      <c r="AM35" s="296">
        <v>719</v>
      </c>
      <c r="AN35" s="296">
        <v>540</v>
      </c>
      <c r="AO35" s="296">
        <v>453</v>
      </c>
      <c r="AP35" s="429">
        <v>384</v>
      </c>
    </row>
    <row r="36" spans="1:42" s="74" customFormat="1" ht="12" customHeight="1">
      <c r="A36" s="618" t="s">
        <v>229</v>
      </c>
      <c r="B36" s="78"/>
      <c r="C36" s="41">
        <v>1842</v>
      </c>
      <c r="D36" s="79"/>
      <c r="E36" s="41">
        <v>1803</v>
      </c>
      <c r="F36" s="80"/>
      <c r="G36" s="41">
        <v>1840</v>
      </c>
      <c r="H36" s="81">
        <v>1879</v>
      </c>
      <c r="I36" s="81">
        <v>1818</v>
      </c>
      <c r="J36" s="75">
        <v>1683</v>
      </c>
      <c r="K36" s="80"/>
      <c r="L36" s="41">
        <v>1877</v>
      </c>
      <c r="M36" s="19">
        <v>1884</v>
      </c>
      <c r="N36" s="19">
        <v>1877</v>
      </c>
      <c r="O36" s="19">
        <v>1879</v>
      </c>
      <c r="P36" s="54"/>
      <c r="Q36" s="41">
        <v>2049</v>
      </c>
      <c r="R36" s="19">
        <v>2139</v>
      </c>
      <c r="S36" s="19">
        <v>2125</v>
      </c>
      <c r="T36" s="19">
        <v>2235</v>
      </c>
      <c r="V36" s="41">
        <v>2311</v>
      </c>
      <c r="W36" s="41">
        <v>2425</v>
      </c>
      <c r="X36" s="41">
        <v>2347</v>
      </c>
      <c r="Y36" s="41">
        <v>2363</v>
      </c>
      <c r="AA36" s="41">
        <v>2532</v>
      </c>
      <c r="AB36" s="41">
        <v>2626</v>
      </c>
      <c r="AC36" s="41">
        <v>2732</v>
      </c>
      <c r="AD36" s="41">
        <v>2724</v>
      </c>
      <c r="AE36" s="54"/>
      <c r="AF36" s="41">
        <v>2756</v>
      </c>
      <c r="AG36" s="296">
        <v>2649</v>
      </c>
      <c r="AH36" s="296">
        <v>2583</v>
      </c>
      <c r="AI36" s="296">
        <v>2040</v>
      </c>
      <c r="AJ36" s="296">
        <v>2104</v>
      </c>
      <c r="AK36" s="296">
        <v>2062</v>
      </c>
      <c r="AL36" s="296">
        <v>2323</v>
      </c>
      <c r="AM36" s="296">
        <v>2394</v>
      </c>
      <c r="AN36" s="296">
        <v>2453</v>
      </c>
      <c r="AO36" s="296">
        <v>2532</v>
      </c>
      <c r="AP36" s="429">
        <v>2645</v>
      </c>
    </row>
    <row r="37" spans="1:42" s="74" customFormat="1" ht="24" customHeight="1">
      <c r="A37" s="618" t="s">
        <v>230</v>
      </c>
      <c r="B37" s="78"/>
      <c r="C37" s="41">
        <v>992</v>
      </c>
      <c r="D37" s="79"/>
      <c r="E37" s="41">
        <v>873</v>
      </c>
      <c r="F37" s="80"/>
      <c r="G37" s="41">
        <v>951</v>
      </c>
      <c r="H37" s="81">
        <v>917</v>
      </c>
      <c r="I37" s="81">
        <v>889</v>
      </c>
      <c r="J37" s="75">
        <v>761</v>
      </c>
      <c r="K37" s="80"/>
      <c r="L37" s="41">
        <v>845</v>
      </c>
      <c r="M37" s="19">
        <v>855</v>
      </c>
      <c r="N37" s="19">
        <v>792</v>
      </c>
      <c r="O37" s="19">
        <v>797</v>
      </c>
      <c r="P37" s="54"/>
      <c r="Q37" s="41">
        <v>794</v>
      </c>
      <c r="R37" s="19">
        <v>844</v>
      </c>
      <c r="S37" s="19">
        <v>791</v>
      </c>
      <c r="T37" s="19">
        <v>980</v>
      </c>
      <c r="V37" s="41">
        <v>982</v>
      </c>
      <c r="W37" s="41">
        <v>1099</v>
      </c>
      <c r="X37" s="41">
        <v>1270</v>
      </c>
      <c r="Y37" s="41">
        <v>1119</v>
      </c>
      <c r="AA37" s="41">
        <v>1146</v>
      </c>
      <c r="AB37" s="41">
        <v>1150</v>
      </c>
      <c r="AC37" s="41">
        <v>1154</v>
      </c>
      <c r="AD37" s="41">
        <v>1185</v>
      </c>
      <c r="AE37" s="54"/>
      <c r="AF37" s="41">
        <v>1153</v>
      </c>
      <c r="AG37" s="296">
        <v>1168</v>
      </c>
      <c r="AH37" s="296">
        <v>1188</v>
      </c>
      <c r="AI37" s="296">
        <v>811</v>
      </c>
      <c r="AJ37" s="296">
        <v>460</v>
      </c>
      <c r="AK37" s="296">
        <v>888</v>
      </c>
      <c r="AL37" s="296">
        <v>896</v>
      </c>
      <c r="AM37" s="296">
        <v>1233</v>
      </c>
      <c r="AN37" s="296">
        <v>1123</v>
      </c>
      <c r="AO37" s="296">
        <v>1133</v>
      </c>
      <c r="AP37" s="429">
        <v>1132</v>
      </c>
    </row>
    <row r="38" spans="1:42" s="74" customFormat="1" ht="13.5" customHeight="1">
      <c r="A38" s="620" t="s">
        <v>231</v>
      </c>
      <c r="B38" s="78"/>
      <c r="C38" s="41">
        <v>0</v>
      </c>
      <c r="D38" s="79"/>
      <c r="E38" s="41">
        <v>0</v>
      </c>
      <c r="F38" s="80"/>
      <c r="G38" s="41">
        <v>0</v>
      </c>
      <c r="H38" s="81">
        <v>0</v>
      </c>
      <c r="I38" s="81">
        <v>0</v>
      </c>
      <c r="J38" s="75">
        <v>0</v>
      </c>
      <c r="K38" s="80"/>
      <c r="L38" s="41">
        <v>0</v>
      </c>
      <c r="M38" s="19">
        <v>0</v>
      </c>
      <c r="N38" s="19">
        <v>0</v>
      </c>
      <c r="O38" s="19">
        <v>0</v>
      </c>
      <c r="P38" s="54"/>
      <c r="Q38" s="41">
        <v>0</v>
      </c>
      <c r="R38" s="19">
        <v>0</v>
      </c>
      <c r="S38" s="19">
        <v>0</v>
      </c>
      <c r="T38" s="19">
        <v>0</v>
      </c>
      <c r="V38" s="41">
        <v>0</v>
      </c>
      <c r="W38" s="41">
        <v>11</v>
      </c>
      <c r="X38" s="41">
        <v>0</v>
      </c>
      <c r="Y38" s="41">
        <v>60</v>
      </c>
      <c r="AA38" s="41">
        <v>0</v>
      </c>
      <c r="AB38" s="41">
        <v>27</v>
      </c>
      <c r="AC38" s="41">
        <v>141</v>
      </c>
      <c r="AD38" s="41">
        <v>81</v>
      </c>
      <c r="AE38" s="54"/>
      <c r="AF38" s="41">
        <v>0</v>
      </c>
      <c r="AG38" s="296">
        <v>7</v>
      </c>
      <c r="AH38" s="296">
        <v>187</v>
      </c>
      <c r="AI38" s="296">
        <v>290</v>
      </c>
      <c r="AJ38" s="296">
        <v>195</v>
      </c>
      <c r="AK38" s="296">
        <v>544</v>
      </c>
      <c r="AL38" s="296">
        <v>471</v>
      </c>
      <c r="AM38" s="296">
        <v>705</v>
      </c>
      <c r="AN38" s="296">
        <v>703</v>
      </c>
      <c r="AO38" s="296">
        <v>856</v>
      </c>
      <c r="AP38" s="429">
        <v>912</v>
      </c>
    </row>
    <row r="39" spans="1:42" s="74" customFormat="1" ht="12" customHeight="1">
      <c r="A39" s="618" t="s">
        <v>232</v>
      </c>
      <c r="B39" s="78"/>
      <c r="C39" s="41">
        <v>187</v>
      </c>
      <c r="D39" s="79"/>
      <c r="E39" s="41">
        <v>198</v>
      </c>
      <c r="F39" s="80"/>
      <c r="G39" s="41">
        <v>192</v>
      </c>
      <c r="H39" s="81">
        <v>191</v>
      </c>
      <c r="I39" s="81">
        <v>208</v>
      </c>
      <c r="J39" s="75">
        <v>229</v>
      </c>
      <c r="K39" s="80"/>
      <c r="L39" s="41">
        <v>219</v>
      </c>
      <c r="M39" s="19">
        <v>209</v>
      </c>
      <c r="N39" s="19">
        <v>209</v>
      </c>
      <c r="O39" s="19">
        <v>207</v>
      </c>
      <c r="P39" s="54"/>
      <c r="Q39" s="41">
        <v>211</v>
      </c>
      <c r="R39" s="19">
        <v>196</v>
      </c>
      <c r="S39" s="19">
        <v>202</v>
      </c>
      <c r="T39" s="19">
        <v>199</v>
      </c>
      <c r="V39" s="41">
        <v>193</v>
      </c>
      <c r="W39" s="41">
        <f>190</f>
        <v>190</v>
      </c>
      <c r="X39" s="41">
        <v>191</v>
      </c>
      <c r="Y39" s="41">
        <v>217</v>
      </c>
      <c r="AA39" s="41">
        <v>195</v>
      </c>
      <c r="AB39" s="41">
        <v>221</v>
      </c>
      <c r="AC39" s="41">
        <v>212</v>
      </c>
      <c r="AD39" s="41">
        <v>191</v>
      </c>
      <c r="AE39" s="54"/>
      <c r="AF39" s="41">
        <v>180</v>
      </c>
      <c r="AG39" s="296">
        <v>231</v>
      </c>
      <c r="AH39" s="296">
        <v>235</v>
      </c>
      <c r="AI39" s="296">
        <v>253</v>
      </c>
      <c r="AJ39" s="296">
        <v>259</v>
      </c>
      <c r="AK39" s="296">
        <v>250</v>
      </c>
      <c r="AL39" s="296">
        <v>303</v>
      </c>
      <c r="AM39" s="296">
        <v>260</v>
      </c>
      <c r="AN39" s="296">
        <v>243</v>
      </c>
      <c r="AO39" s="296">
        <v>232</v>
      </c>
      <c r="AP39" s="429">
        <v>236</v>
      </c>
    </row>
    <row r="40" spans="1:42" s="74" customFormat="1" ht="12" customHeight="1">
      <c r="A40" s="619" t="s">
        <v>233</v>
      </c>
      <c r="B40" s="82"/>
      <c r="C40" s="41">
        <f>+C34+C35+C36+C37+C39</f>
        <v>4195</v>
      </c>
      <c r="D40" s="79"/>
      <c r="E40" s="41">
        <f>+E34+E35+E36+E37+E39</f>
        <v>7756</v>
      </c>
      <c r="F40" s="80"/>
      <c r="G40" s="41">
        <f>+G34+G35+G36+G37+G39</f>
        <v>7339</v>
      </c>
      <c r="H40" s="81">
        <f>+H34+H35+H36+H37+H39</f>
        <v>8773</v>
      </c>
      <c r="I40" s="81">
        <f>+I34+I35+I36+I37+I39</f>
        <v>9291</v>
      </c>
      <c r="J40" s="75">
        <f>+J34+J35+J36+J37+J39</f>
        <v>9245</v>
      </c>
      <c r="K40" s="80"/>
      <c r="L40" s="41">
        <f>+L34+L35+L36+L37+L39</f>
        <v>8472</v>
      </c>
      <c r="M40" s="19">
        <f>+M34+M35+M36+M37+M39</f>
        <v>8358</v>
      </c>
      <c r="N40" s="19">
        <v>8638</v>
      </c>
      <c r="O40" s="19">
        <f>SUM(O34:O39)</f>
        <v>9052</v>
      </c>
      <c r="P40" s="54"/>
      <c r="Q40" s="41">
        <f>+Q34+Q35+Q36+Q37+Q39</f>
        <v>8997</v>
      </c>
      <c r="R40" s="19">
        <f>+R34+R35+R36+R37+R39</f>
        <v>10619</v>
      </c>
      <c r="S40" s="19">
        <f>+S34+S35+S36+S37+S39</f>
        <v>10212</v>
      </c>
      <c r="T40" s="19">
        <f>+T34+T35+T36+T37+T39</f>
        <v>10240</v>
      </c>
      <c r="V40" s="41">
        <f>+V34+V35+V36+V37+V39</f>
        <v>10207</v>
      </c>
      <c r="W40" s="41">
        <f>+W34+W35+W36+W37+W39+W38</f>
        <v>11429</v>
      </c>
      <c r="X40" s="41">
        <f>X34+X35+X36+X37+X38+X39</f>
        <v>11657</v>
      </c>
      <c r="Y40" s="41">
        <v>11105</v>
      </c>
      <c r="AA40" s="41">
        <v>13255</v>
      </c>
      <c r="AB40" s="41">
        <v>11860</v>
      </c>
      <c r="AC40" s="41">
        <f>+AC34+AC35+AC36+AC37+AC38+AC39</f>
        <v>11739</v>
      </c>
      <c r="AD40" s="41">
        <f>AD34+AD35+AD36+AD37+AD38+AD39</f>
        <v>11687</v>
      </c>
      <c r="AE40" s="54"/>
      <c r="AF40" s="41">
        <f>AF34+AF35+AF36+AF37+AF38+AF39</f>
        <v>11011</v>
      </c>
      <c r="AG40" s="296">
        <f>+AG34+AG35+AG36+AG37+AG38+AG39</f>
        <v>10306</v>
      </c>
      <c r="AH40" s="296">
        <f>AH34+AH35+AH36+AH37+AH38+AH39</f>
        <v>10310</v>
      </c>
      <c r="AI40" s="296">
        <v>9707</v>
      </c>
      <c r="AJ40" s="296">
        <f>+AJ34+AJ35+AJ36+AJ37+AJ38+AJ39</f>
        <v>8740</v>
      </c>
      <c r="AK40" s="296">
        <f>+AK34+AK35+AK36+AK37+AK38+AK39</f>
        <v>9412</v>
      </c>
      <c r="AL40" s="296">
        <f>+AL34+AL35+AL36+AL37+AL38+AL39</f>
        <v>10834</v>
      </c>
      <c r="AM40" s="296">
        <f>+AM34+AM35+AM36+AM37+AM38+AM39</f>
        <v>10311</v>
      </c>
      <c r="AN40" s="296">
        <v>10695</v>
      </c>
      <c r="AO40" s="296">
        <f>+AO34+AO35+AO36+AO37+AO38+AO39</f>
        <v>9990</v>
      </c>
      <c r="AP40" s="429">
        <f>+AP34+AP35+AP36+AP37+AP38+AP39</f>
        <v>10383</v>
      </c>
    </row>
    <row r="41" spans="1:42" s="74" customFormat="1" ht="24" customHeight="1">
      <c r="A41" s="618" t="s">
        <v>276</v>
      </c>
      <c r="B41" s="78"/>
      <c r="C41" s="41">
        <v>1056</v>
      </c>
      <c r="D41" s="79"/>
      <c r="E41" s="41">
        <v>2098</v>
      </c>
      <c r="F41" s="80"/>
      <c r="G41" s="41">
        <v>2962</v>
      </c>
      <c r="H41" s="81">
        <v>2250</v>
      </c>
      <c r="I41" s="81">
        <v>1419</v>
      </c>
      <c r="J41" s="75">
        <v>1509</v>
      </c>
      <c r="K41" s="80"/>
      <c r="L41" s="41">
        <v>2041</v>
      </c>
      <c r="M41" s="19">
        <v>1601</v>
      </c>
      <c r="N41" s="19">
        <v>1398</v>
      </c>
      <c r="O41" s="19">
        <v>923</v>
      </c>
      <c r="P41" s="54"/>
      <c r="Q41" s="41">
        <v>1627</v>
      </c>
      <c r="R41" s="19">
        <v>1112</v>
      </c>
      <c r="S41" s="19">
        <v>1053</v>
      </c>
      <c r="T41" s="19">
        <v>1035</v>
      </c>
      <c r="V41" s="41">
        <v>1740</v>
      </c>
      <c r="W41" s="41">
        <v>996</v>
      </c>
      <c r="X41" s="41">
        <v>1290</v>
      </c>
      <c r="Y41" s="41">
        <v>275</v>
      </c>
      <c r="AA41" s="41">
        <v>311</v>
      </c>
      <c r="AB41" s="41">
        <v>1104</v>
      </c>
      <c r="AC41" s="41">
        <v>317</v>
      </c>
      <c r="AD41" s="41">
        <v>306</v>
      </c>
      <c r="AE41" s="54"/>
      <c r="AF41" s="41">
        <v>334</v>
      </c>
      <c r="AG41" s="296">
        <v>322</v>
      </c>
      <c r="AH41" s="296">
        <v>359</v>
      </c>
      <c r="AI41" s="296">
        <v>382</v>
      </c>
      <c r="AJ41" s="296">
        <v>1059</v>
      </c>
      <c r="AK41" s="296">
        <v>1122</v>
      </c>
      <c r="AL41" s="296">
        <v>1279</v>
      </c>
      <c r="AM41" s="296">
        <v>1124</v>
      </c>
      <c r="AN41" s="296">
        <v>498</v>
      </c>
      <c r="AO41" s="296">
        <v>844</v>
      </c>
      <c r="AP41" s="429">
        <v>913</v>
      </c>
    </row>
    <row r="42" spans="1:42" s="74" customFormat="1" ht="12" customHeight="1">
      <c r="A42" s="618" t="s">
        <v>277</v>
      </c>
      <c r="B42" s="78"/>
      <c r="C42" s="41">
        <v>0</v>
      </c>
      <c r="D42" s="79"/>
      <c r="E42" s="41">
        <v>0</v>
      </c>
      <c r="F42" s="80"/>
      <c r="G42" s="41">
        <v>0</v>
      </c>
      <c r="H42" s="81">
        <v>0</v>
      </c>
      <c r="I42" s="81">
        <v>0</v>
      </c>
      <c r="J42" s="75">
        <v>0</v>
      </c>
      <c r="K42" s="80"/>
      <c r="L42" s="41">
        <v>0</v>
      </c>
      <c r="M42" s="19">
        <v>227</v>
      </c>
      <c r="N42" s="19">
        <v>160</v>
      </c>
      <c r="O42" s="19">
        <v>160</v>
      </c>
      <c r="P42" s="54"/>
      <c r="Q42" s="41">
        <v>220</v>
      </c>
      <c r="R42" s="19">
        <v>120</v>
      </c>
      <c r="S42" s="19">
        <v>110</v>
      </c>
      <c r="T42" s="19">
        <v>80</v>
      </c>
      <c r="V42" s="41">
        <v>135</v>
      </c>
      <c r="W42" s="41">
        <v>50</v>
      </c>
      <c r="X42" s="41">
        <v>80</v>
      </c>
      <c r="Y42" s="41">
        <v>130</v>
      </c>
      <c r="AA42" s="41">
        <v>80</v>
      </c>
      <c r="AB42" s="41">
        <v>180</v>
      </c>
      <c r="AC42" s="41">
        <v>230</v>
      </c>
      <c r="AD42" s="41">
        <v>284</v>
      </c>
      <c r="AE42" s="54"/>
      <c r="AF42" s="41">
        <v>220</v>
      </c>
      <c r="AG42" s="296">
        <v>372</v>
      </c>
      <c r="AH42" s="296">
        <v>409</v>
      </c>
      <c r="AI42" s="296">
        <v>360</v>
      </c>
      <c r="AJ42" s="296">
        <v>340</v>
      </c>
      <c r="AK42" s="296">
        <v>267</v>
      </c>
      <c r="AL42" s="296">
        <v>329</v>
      </c>
      <c r="AM42" s="296">
        <v>321</v>
      </c>
      <c r="AN42" s="296">
        <v>401</v>
      </c>
      <c r="AO42" s="296">
        <v>341</v>
      </c>
      <c r="AP42" s="429">
        <v>411</v>
      </c>
    </row>
    <row r="43" spans="1:42" s="74" customFormat="1" ht="12" customHeight="1">
      <c r="A43" s="618" t="s">
        <v>204</v>
      </c>
      <c r="B43" s="78"/>
      <c r="C43" s="41">
        <v>36</v>
      </c>
      <c r="D43" s="79"/>
      <c r="E43" s="41">
        <v>48</v>
      </c>
      <c r="F43" s="80"/>
      <c r="G43" s="41">
        <v>25</v>
      </c>
      <c r="H43" s="81">
        <v>75</v>
      </c>
      <c r="I43" s="81">
        <v>39</v>
      </c>
      <c r="J43" s="75">
        <v>189</v>
      </c>
      <c r="K43" s="80"/>
      <c r="L43" s="41">
        <v>46</v>
      </c>
      <c r="M43" s="19">
        <v>9</v>
      </c>
      <c r="N43" s="19">
        <v>20</v>
      </c>
      <c r="O43" s="19">
        <v>74</v>
      </c>
      <c r="P43" s="54"/>
      <c r="Q43" s="41">
        <v>36</v>
      </c>
      <c r="R43" s="19">
        <v>16</v>
      </c>
      <c r="S43" s="19">
        <v>11</v>
      </c>
      <c r="T43" s="19">
        <v>13</v>
      </c>
      <c r="V43" s="41">
        <v>19</v>
      </c>
      <c r="W43" s="41">
        <v>14</v>
      </c>
      <c r="X43" s="41">
        <v>29</v>
      </c>
      <c r="Y43" s="41">
        <v>60</v>
      </c>
      <c r="AA43" s="41">
        <v>315</v>
      </c>
      <c r="AB43" s="41">
        <v>179</v>
      </c>
      <c r="AC43" s="41">
        <v>226</v>
      </c>
      <c r="AD43" s="41">
        <v>653</v>
      </c>
      <c r="AE43" s="54"/>
      <c r="AF43" s="41">
        <v>1222</v>
      </c>
      <c r="AG43" s="296">
        <v>1162</v>
      </c>
      <c r="AH43" s="296">
        <v>786</v>
      </c>
      <c r="AI43" s="296">
        <v>888</v>
      </c>
      <c r="AJ43" s="296">
        <v>1147</v>
      </c>
      <c r="AK43" s="296">
        <v>369</v>
      </c>
      <c r="AL43" s="296">
        <v>519</v>
      </c>
      <c r="AM43" s="296">
        <v>434</v>
      </c>
      <c r="AN43" s="296">
        <v>342</v>
      </c>
      <c r="AO43" s="296">
        <v>429</v>
      </c>
      <c r="AP43" s="429">
        <v>296</v>
      </c>
    </row>
    <row r="44" spans="1:42" s="74" customFormat="1" ht="12" customHeight="1">
      <c r="A44" s="618" t="s">
        <v>235</v>
      </c>
      <c r="B44" s="78"/>
      <c r="C44" s="41">
        <v>1109</v>
      </c>
      <c r="D44" s="79"/>
      <c r="E44" s="41">
        <v>1318</v>
      </c>
      <c r="F44" s="80"/>
      <c r="G44" s="41">
        <v>1192</v>
      </c>
      <c r="H44" s="81">
        <v>1151</v>
      </c>
      <c r="I44" s="81">
        <v>1271</v>
      </c>
      <c r="J44" s="75">
        <v>1372</v>
      </c>
      <c r="K44" s="80"/>
      <c r="L44" s="41">
        <v>1298</v>
      </c>
      <c r="M44" s="19">
        <v>1506</v>
      </c>
      <c r="N44" s="19">
        <v>1446</v>
      </c>
      <c r="O44" s="19">
        <v>1719</v>
      </c>
      <c r="P44" s="54"/>
      <c r="Q44" s="41">
        <v>1321</v>
      </c>
      <c r="R44" s="19">
        <v>1145</v>
      </c>
      <c r="S44" s="19">
        <v>1452</v>
      </c>
      <c r="T44" s="19">
        <v>1920</v>
      </c>
      <c r="V44" s="41">
        <v>1631</v>
      </c>
      <c r="W44" s="41">
        <v>1610</v>
      </c>
      <c r="X44" s="41">
        <v>1439</v>
      </c>
      <c r="Y44" s="41">
        <v>2460</v>
      </c>
      <c r="AA44" s="41">
        <v>2572</v>
      </c>
      <c r="AB44" s="41">
        <v>2640</v>
      </c>
      <c r="AC44" s="41">
        <v>2811</v>
      </c>
      <c r="AD44" s="41">
        <v>3334</v>
      </c>
      <c r="AE44" s="54"/>
      <c r="AF44" s="41">
        <v>3064</v>
      </c>
      <c r="AG44" s="296">
        <v>2775</v>
      </c>
      <c r="AH44" s="296">
        <v>2148</v>
      </c>
      <c r="AI44" s="296">
        <v>2613</v>
      </c>
      <c r="AJ44" s="296">
        <v>2438</v>
      </c>
      <c r="AK44" s="296">
        <v>2732</v>
      </c>
      <c r="AL44" s="296">
        <v>2503</v>
      </c>
      <c r="AM44" s="296">
        <v>2819</v>
      </c>
      <c r="AN44" s="296">
        <v>2486</v>
      </c>
      <c r="AO44" s="296">
        <v>3664</v>
      </c>
      <c r="AP44" s="429">
        <v>4777</v>
      </c>
    </row>
    <row r="45" spans="1:42" s="74" customFormat="1" ht="12" customHeight="1">
      <c r="A45" s="618" t="s">
        <v>229</v>
      </c>
      <c r="B45" s="78"/>
      <c r="C45" s="41">
        <v>584</v>
      </c>
      <c r="D45" s="79"/>
      <c r="E45" s="41">
        <v>577</v>
      </c>
      <c r="F45" s="80"/>
      <c r="G45" s="41">
        <v>640</v>
      </c>
      <c r="H45" s="81">
        <v>769</v>
      </c>
      <c r="I45" s="81">
        <v>588</v>
      </c>
      <c r="J45" s="75">
        <v>628</v>
      </c>
      <c r="K45" s="80"/>
      <c r="L45" s="41">
        <v>736</v>
      </c>
      <c r="M45" s="19">
        <v>560</v>
      </c>
      <c r="N45" s="19">
        <v>655</v>
      </c>
      <c r="O45" s="19">
        <v>649</v>
      </c>
      <c r="P45" s="54"/>
      <c r="Q45" s="41">
        <v>759</v>
      </c>
      <c r="R45" s="19">
        <v>614</v>
      </c>
      <c r="S45" s="19">
        <v>709</v>
      </c>
      <c r="T45" s="19">
        <v>611</v>
      </c>
      <c r="V45" s="41">
        <v>696</v>
      </c>
      <c r="W45" s="41">
        <v>770</v>
      </c>
      <c r="X45" s="41">
        <v>841</v>
      </c>
      <c r="Y45" s="41">
        <v>890</v>
      </c>
      <c r="AA45" s="41">
        <v>956</v>
      </c>
      <c r="AB45" s="41">
        <v>905</v>
      </c>
      <c r="AC45" s="41">
        <v>917</v>
      </c>
      <c r="AD45" s="41">
        <v>1042</v>
      </c>
      <c r="AE45" s="54"/>
      <c r="AF45" s="41">
        <v>1104</v>
      </c>
      <c r="AG45" s="296">
        <v>1111</v>
      </c>
      <c r="AH45" s="296">
        <v>1018</v>
      </c>
      <c r="AI45" s="296">
        <v>1130</v>
      </c>
      <c r="AJ45" s="296">
        <v>1244</v>
      </c>
      <c r="AK45" s="296">
        <v>1329</v>
      </c>
      <c r="AL45" s="296">
        <v>1162</v>
      </c>
      <c r="AM45" s="296">
        <v>1365</v>
      </c>
      <c r="AN45" s="296">
        <v>1481</v>
      </c>
      <c r="AO45" s="296">
        <v>1722</v>
      </c>
      <c r="AP45" s="429">
        <v>1274</v>
      </c>
    </row>
    <row r="46" spans="1:42" s="74" customFormat="1" ht="12" customHeight="1">
      <c r="A46" s="618" t="s">
        <v>236</v>
      </c>
      <c r="B46" s="78"/>
      <c r="C46" s="41">
        <v>522</v>
      </c>
      <c r="D46" s="79"/>
      <c r="E46" s="41">
        <v>450</v>
      </c>
      <c r="F46" s="80"/>
      <c r="G46" s="41">
        <v>341</v>
      </c>
      <c r="H46" s="81">
        <v>542</v>
      </c>
      <c r="I46" s="81">
        <v>418</v>
      </c>
      <c r="J46" s="75">
        <v>636</v>
      </c>
      <c r="K46" s="80"/>
      <c r="L46" s="41">
        <v>452</v>
      </c>
      <c r="M46" s="19">
        <v>473</v>
      </c>
      <c r="N46" s="19">
        <v>331</v>
      </c>
      <c r="O46" s="19">
        <v>416</v>
      </c>
      <c r="P46" s="54"/>
      <c r="Q46" s="41">
        <v>428</v>
      </c>
      <c r="R46" s="19">
        <v>593</v>
      </c>
      <c r="S46" s="19">
        <v>377</v>
      </c>
      <c r="T46" s="19">
        <v>405</v>
      </c>
      <c r="V46" s="41">
        <v>516</v>
      </c>
      <c r="W46" s="41">
        <v>360</v>
      </c>
      <c r="X46" s="41">
        <v>424</v>
      </c>
      <c r="Y46" s="41">
        <v>258</v>
      </c>
      <c r="AA46" s="41">
        <v>279</v>
      </c>
      <c r="AB46" s="41">
        <v>263</v>
      </c>
      <c r="AC46" s="41">
        <v>378</v>
      </c>
      <c r="AD46" s="41">
        <v>369</v>
      </c>
      <c r="AE46" s="54"/>
      <c r="AF46" s="41">
        <v>872</v>
      </c>
      <c r="AG46" s="296">
        <v>971</v>
      </c>
      <c r="AH46" s="296">
        <v>1118</v>
      </c>
      <c r="AI46" s="296">
        <v>1291</v>
      </c>
      <c r="AJ46" s="296">
        <v>1660</v>
      </c>
      <c r="AK46" s="296">
        <v>1072</v>
      </c>
      <c r="AL46" s="296">
        <v>1152</v>
      </c>
      <c r="AM46" s="296">
        <v>1061</v>
      </c>
      <c r="AN46" s="296">
        <v>1209</v>
      </c>
      <c r="AO46" s="296">
        <v>525</v>
      </c>
      <c r="AP46" s="429">
        <v>485</v>
      </c>
    </row>
    <row r="47" spans="1:42" s="74" customFormat="1" ht="12" customHeight="1">
      <c r="A47" s="618" t="s">
        <v>232</v>
      </c>
      <c r="B47" s="78"/>
      <c r="C47" s="41">
        <v>533</v>
      </c>
      <c r="D47" s="79"/>
      <c r="E47" s="41">
        <v>594</v>
      </c>
      <c r="F47" s="80"/>
      <c r="G47" s="41">
        <v>604</v>
      </c>
      <c r="H47" s="81">
        <v>853</v>
      </c>
      <c r="I47" s="81">
        <v>745</v>
      </c>
      <c r="J47" s="75">
        <v>621</v>
      </c>
      <c r="K47" s="80"/>
      <c r="L47" s="41">
        <v>758</v>
      </c>
      <c r="M47" s="19">
        <v>844</v>
      </c>
      <c r="N47" s="19">
        <v>915</v>
      </c>
      <c r="O47" s="19">
        <v>698</v>
      </c>
      <c r="P47" s="54"/>
      <c r="Q47" s="41">
        <v>663</v>
      </c>
      <c r="R47" s="19">
        <v>755</v>
      </c>
      <c r="S47" s="19">
        <f>201+535</f>
        <v>736</v>
      </c>
      <c r="T47" s="19">
        <v>901</v>
      </c>
      <c r="V47" s="41">
        <v>874</v>
      </c>
      <c r="W47" s="41">
        <f>87+709</f>
        <v>796</v>
      </c>
      <c r="X47" s="41">
        <f>82+684</f>
        <v>766</v>
      </c>
      <c r="Y47" s="41">
        <v>922</v>
      </c>
      <c r="AA47" s="41">
        <v>1041</v>
      </c>
      <c r="AB47" s="41">
        <f>123+790</f>
        <v>913</v>
      </c>
      <c r="AC47" s="41">
        <v>922</v>
      </c>
      <c r="AD47" s="41">
        <f>77+864</f>
        <v>941</v>
      </c>
      <c r="AE47" s="54"/>
      <c r="AF47" s="41">
        <v>1133</v>
      </c>
      <c r="AG47" s="296">
        <f>72+983</f>
        <v>1055</v>
      </c>
      <c r="AH47" s="296">
        <f>76+985</f>
        <v>1061</v>
      </c>
      <c r="AI47" s="296">
        <v>1247</v>
      </c>
      <c r="AJ47" s="296">
        <v>1298</v>
      </c>
      <c r="AK47" s="296">
        <v>1927</v>
      </c>
      <c r="AL47" s="296">
        <v>1387</v>
      </c>
      <c r="AM47" s="296">
        <v>885</v>
      </c>
      <c r="AN47" s="296">
        <v>1008</v>
      </c>
      <c r="AO47" s="296">
        <v>1220</v>
      </c>
      <c r="AP47" s="429">
        <v>977</v>
      </c>
    </row>
    <row r="48" spans="1:42" s="74" customFormat="1" ht="12" customHeight="1">
      <c r="A48" s="619" t="s">
        <v>238</v>
      </c>
      <c r="B48" s="82"/>
      <c r="C48" s="41">
        <f>+C41+C43+C44+C45+C46+C47</f>
        <v>3840</v>
      </c>
      <c r="D48" s="79"/>
      <c r="E48" s="41">
        <f>+E41+E43+E44+E45+E46+E47</f>
        <v>5085</v>
      </c>
      <c r="F48" s="80"/>
      <c r="G48" s="41">
        <f>+G41+G43+G44+G45+G46+G47</f>
        <v>5764</v>
      </c>
      <c r="H48" s="81">
        <f>+H41+H43+H44+H45+H46+H47</f>
        <v>5640</v>
      </c>
      <c r="I48" s="81">
        <f>+I41+I43+I44+I45+I46+I47</f>
        <v>4480</v>
      </c>
      <c r="J48" s="75">
        <f>+J41+J43+J44+J45+J46+J47</f>
        <v>4955</v>
      </c>
      <c r="K48" s="80"/>
      <c r="L48" s="41">
        <f>+L41+L43+L44+L45+L46+L47</f>
        <v>5331</v>
      </c>
      <c r="M48" s="19">
        <f>+M41+M42+M43+M44+M45+M46+M47</f>
        <v>5220</v>
      </c>
      <c r="N48" s="19">
        <f>+N41+N42+N43+N44+N45+N46+N47</f>
        <v>4925</v>
      </c>
      <c r="O48" s="19">
        <f>+O41+O42+O43+O44+O45+O46+O47</f>
        <v>4639</v>
      </c>
      <c r="P48" s="54"/>
      <c r="Q48" s="41">
        <f>+Q41+Q43+Q44+Q45+Q46+Q47+Q42</f>
        <v>5054</v>
      </c>
      <c r="R48" s="19">
        <f>+R41+R43+R44+R45+R46+R47+R42</f>
        <v>4355</v>
      </c>
      <c r="S48" s="19">
        <f>+S41+S43+S44+S45+S46+S47+S42</f>
        <v>4448</v>
      </c>
      <c r="T48" s="19">
        <f>+T41+T43+T44+T45+T46+T47+T42</f>
        <v>4965</v>
      </c>
      <c r="V48" s="41">
        <f>+V41+V43+V44+V45+V46+V47+V42</f>
        <v>5611</v>
      </c>
      <c r="W48" s="41">
        <f>+W41+W43+W44+W45+W46+W47+W42</f>
        <v>4596</v>
      </c>
      <c r="X48" s="41">
        <f>X41+X42+X43+X44+X45+X46+X47</f>
        <v>4869</v>
      </c>
      <c r="Y48" s="41">
        <v>4995</v>
      </c>
      <c r="AA48" s="41">
        <v>5554</v>
      </c>
      <c r="AB48" s="41">
        <v>6184</v>
      </c>
      <c r="AC48" s="41">
        <f>+AC41+AC42+AC43+AC44+AC45+AC46+AC47</f>
        <v>5801</v>
      </c>
      <c r="AD48" s="41">
        <f>AD41+AD42+AD43+AD44+AD45+AD46+AD47</f>
        <v>6929</v>
      </c>
      <c r="AE48" s="54"/>
      <c r="AF48" s="41">
        <v>8028</v>
      </c>
      <c r="AG48" s="296">
        <f>+AG41+AG42+AG43+AG44+AG45+AG46+AG47</f>
        <v>7768</v>
      </c>
      <c r="AH48" s="296">
        <f aca="true" t="shared" si="10" ref="AH48:AM48">AH41+AH42+AH43+AH44+AH45+AH46+AH47</f>
        <v>6899</v>
      </c>
      <c r="AI48" s="296">
        <f t="shared" si="10"/>
        <v>7911</v>
      </c>
      <c r="AJ48" s="296">
        <f t="shared" si="10"/>
        <v>9186</v>
      </c>
      <c r="AK48" s="296">
        <f t="shared" si="10"/>
        <v>8818</v>
      </c>
      <c r="AL48" s="296">
        <f t="shared" si="10"/>
        <v>8331</v>
      </c>
      <c r="AM48" s="296">
        <f t="shared" si="10"/>
        <v>8009</v>
      </c>
      <c r="AN48" s="296">
        <v>7425</v>
      </c>
      <c r="AO48" s="296">
        <f>+AO41+AO42+AO43+AO44+AO45+AO46+AO47</f>
        <v>8745</v>
      </c>
      <c r="AP48" s="429">
        <f>+AP41+AP42+AP43+AP44+AP45+AP46+AP47</f>
        <v>9133</v>
      </c>
    </row>
    <row r="49" spans="1:42" s="74" customFormat="1" ht="12" customHeight="1">
      <c r="A49" s="577" t="s">
        <v>239</v>
      </c>
      <c r="B49" s="72"/>
      <c r="C49" s="38">
        <f>C48+C40</f>
        <v>8035</v>
      </c>
      <c r="D49" s="83"/>
      <c r="E49" s="38">
        <f>E48+E40</f>
        <v>12841</v>
      </c>
      <c r="F49" s="84"/>
      <c r="G49" s="38">
        <f>G48+G40</f>
        <v>13103</v>
      </c>
      <c r="H49" s="85">
        <f>H48+H40</f>
        <v>14413</v>
      </c>
      <c r="I49" s="85">
        <f>I48+I40</f>
        <v>13771</v>
      </c>
      <c r="J49" s="86">
        <f>J48+J40</f>
        <v>14200</v>
      </c>
      <c r="K49" s="84"/>
      <c r="L49" s="38">
        <f aca="true" t="shared" si="11" ref="L49:R49">L48+L40</f>
        <v>13803</v>
      </c>
      <c r="M49" s="16">
        <f t="shared" si="11"/>
        <v>13578</v>
      </c>
      <c r="N49" s="16">
        <f t="shared" si="11"/>
        <v>13563</v>
      </c>
      <c r="O49" s="16">
        <f t="shared" si="11"/>
        <v>13691</v>
      </c>
      <c r="P49" s="53"/>
      <c r="Q49" s="38">
        <f t="shared" si="11"/>
        <v>14051</v>
      </c>
      <c r="R49" s="16">
        <f t="shared" si="11"/>
        <v>14974</v>
      </c>
      <c r="S49" s="16">
        <f>S48+S40</f>
        <v>14660</v>
      </c>
      <c r="T49" s="16">
        <f>T48+T40</f>
        <v>15205</v>
      </c>
      <c r="V49" s="38">
        <f>V48+V40</f>
        <v>15818</v>
      </c>
      <c r="W49" s="38">
        <f>W48+W40</f>
        <v>16025</v>
      </c>
      <c r="X49" s="38">
        <f>X40+X48</f>
        <v>16526</v>
      </c>
      <c r="Y49" s="38">
        <v>16100</v>
      </c>
      <c r="AA49" s="38">
        <v>18809</v>
      </c>
      <c r="AB49" s="38">
        <v>18044</v>
      </c>
      <c r="AC49" s="38">
        <f>+AC40+AC48</f>
        <v>17540</v>
      </c>
      <c r="AD49" s="38">
        <f>AD40+AD48</f>
        <v>18616</v>
      </c>
      <c r="AE49" s="53"/>
      <c r="AF49" s="38">
        <f>AF40+AF48</f>
        <v>19039</v>
      </c>
      <c r="AG49" s="297">
        <f>+AG40+AG48</f>
        <v>18074</v>
      </c>
      <c r="AH49" s="297">
        <f aca="true" t="shared" si="12" ref="AH49:AM49">AH40+AH48</f>
        <v>17209</v>
      </c>
      <c r="AI49" s="297">
        <f t="shared" si="12"/>
        <v>17618</v>
      </c>
      <c r="AJ49" s="297">
        <f t="shared" si="12"/>
        <v>17926</v>
      </c>
      <c r="AK49" s="297">
        <f t="shared" si="12"/>
        <v>18230</v>
      </c>
      <c r="AL49" s="297">
        <f t="shared" si="12"/>
        <v>19165</v>
      </c>
      <c r="AM49" s="297">
        <f t="shared" si="12"/>
        <v>18320</v>
      </c>
      <c r="AN49" s="297">
        <v>18120</v>
      </c>
      <c r="AO49" s="297">
        <f>+AO40+AO48</f>
        <v>18735</v>
      </c>
      <c r="AP49" s="430">
        <f>+AP40+AP48</f>
        <v>19516</v>
      </c>
    </row>
    <row r="50" spans="1:42" s="74" customFormat="1" ht="12" customHeight="1">
      <c r="A50" s="577" t="s">
        <v>240</v>
      </c>
      <c r="B50" s="72"/>
      <c r="C50" s="38">
        <f>C49+C33</f>
        <v>32312</v>
      </c>
      <c r="D50" s="83"/>
      <c r="E50" s="38">
        <f>E49+E33</f>
        <v>33120</v>
      </c>
      <c r="F50" s="84"/>
      <c r="G50" s="38">
        <f>G49+G33</f>
        <v>33824</v>
      </c>
      <c r="H50" s="85">
        <f>H49+H33</f>
        <v>35013</v>
      </c>
      <c r="I50" s="85">
        <f>I49+I33</f>
        <v>35066</v>
      </c>
      <c r="J50" s="86">
        <f>J49+J33</f>
        <v>30100</v>
      </c>
      <c r="K50" s="84"/>
      <c r="L50" s="38">
        <f aca="true" t="shared" si="13" ref="L50:R50">L49+L33</f>
        <v>30548</v>
      </c>
      <c r="M50" s="16">
        <f t="shared" si="13"/>
        <v>30728</v>
      </c>
      <c r="N50" s="16">
        <f t="shared" si="13"/>
        <v>31332</v>
      </c>
      <c r="O50" s="16">
        <f t="shared" si="13"/>
        <v>30947</v>
      </c>
      <c r="P50" s="53"/>
      <c r="Q50" s="38">
        <f t="shared" si="13"/>
        <v>31480</v>
      </c>
      <c r="R50" s="16">
        <f t="shared" si="13"/>
        <v>32739</v>
      </c>
      <c r="S50" s="16">
        <f>S49+S33</f>
        <v>33005</v>
      </c>
      <c r="T50" s="16">
        <f>T49+T33</f>
        <v>34250</v>
      </c>
      <c r="V50" s="38">
        <f>V49+V33</f>
        <v>35261</v>
      </c>
      <c r="W50" s="38">
        <f>W49+W33</f>
        <v>36047</v>
      </c>
      <c r="X50" s="38">
        <f>X33+X49</f>
        <v>36788</v>
      </c>
      <c r="Y50" s="38">
        <v>35989</v>
      </c>
      <c r="AA50" s="38">
        <v>38897</v>
      </c>
      <c r="AB50" s="38">
        <v>38285</v>
      </c>
      <c r="AC50" s="38">
        <f>+AC33+AC49</f>
        <v>38275</v>
      </c>
      <c r="AD50" s="38">
        <f>AD33+AD49</f>
        <v>39342</v>
      </c>
      <c r="AE50" s="53"/>
      <c r="AF50" s="38">
        <f>AF33+AF49</f>
        <v>39930</v>
      </c>
      <c r="AG50" s="282">
        <f>+AG33+AG49</f>
        <v>42110</v>
      </c>
      <c r="AH50" s="282">
        <f aca="true" t="shared" si="14" ref="AH50:AM50">AH33+AH49</f>
        <v>42602</v>
      </c>
      <c r="AI50" s="372">
        <f t="shared" si="14"/>
        <v>43458</v>
      </c>
      <c r="AJ50" s="382">
        <f t="shared" si="14"/>
        <v>44729</v>
      </c>
      <c r="AK50" s="424">
        <f t="shared" si="14"/>
        <v>47206</v>
      </c>
      <c r="AL50" s="424">
        <f t="shared" si="14"/>
        <v>48291</v>
      </c>
      <c r="AM50" s="424">
        <f t="shared" si="14"/>
        <v>47995</v>
      </c>
      <c r="AN50" s="424">
        <v>48190</v>
      </c>
      <c r="AO50" s="424">
        <f>+AO49+AO33</f>
        <v>49965</v>
      </c>
      <c r="AP50" s="427">
        <f>+AP33+AP49</f>
        <v>51067</v>
      </c>
    </row>
    <row r="51" spans="3:42" ht="12" customHeight="1">
      <c r="C51" s="36"/>
      <c r="D51" s="94"/>
      <c r="E51" s="94"/>
      <c r="F51" s="94"/>
      <c r="G51" s="94"/>
      <c r="H51" s="94"/>
      <c r="I51" s="94"/>
      <c r="J51" s="36"/>
      <c r="K51" s="94"/>
      <c r="AP51" s="180"/>
    </row>
    <row r="52" spans="3:42" ht="13.5">
      <c r="C52" s="36"/>
      <c r="E52" s="36"/>
      <c r="F52" s="36"/>
      <c r="G52" s="36"/>
      <c r="H52" s="36"/>
      <c r="I52" s="36"/>
      <c r="J52" s="36"/>
      <c r="K52" s="36"/>
      <c r="AP52"/>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61" r:id="rId1"/>
  <ignoredErrors>
    <ignoredError sqref="AJ15:AM15" formulaRange="1"/>
    <ignoredError sqref="AH18 AG33 AG40 AG49:AG50"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BA21"/>
  <sheetViews>
    <sheetView showGridLines="0" zoomScale="130" zoomScaleNormal="130" zoomScalePageLayoutView="0" workbookViewId="0" topLeftCell="A1">
      <pane xSplit="1" ySplit="1" topLeftCell="AP2" activePane="bottomRight" state="frozen"/>
      <selection pane="topLeft" activeCell="Z1" sqref="Z1"/>
      <selection pane="topRight" activeCell="Z1" sqref="Z1"/>
      <selection pane="bottomLeft" activeCell="Z1" sqref="Z1"/>
      <selection pane="bottomRight" activeCell="BB20" sqref="BB20"/>
    </sheetView>
  </sheetViews>
  <sheetFormatPr defaultColWidth="9.421875" defaultRowHeight="12.75" customHeight="1"/>
  <cols>
    <col min="1" max="1" width="40.00390625" style="228" customWidth="1"/>
    <col min="2" max="2" width="8.00390625" style="190" customWidth="1"/>
    <col min="3" max="3" width="0.9921875" style="190" customWidth="1"/>
    <col min="4" max="9" width="8.00390625" style="190" customWidth="1"/>
    <col min="10" max="10" width="0.9921875" style="190" customWidth="1"/>
    <col min="11" max="16" width="8.00390625" style="190" customWidth="1"/>
    <col min="17" max="17" width="0.9921875" style="190" customWidth="1"/>
    <col min="18" max="23" width="8.00390625" style="190" customWidth="1"/>
    <col min="24" max="24" width="0.9921875" style="190" customWidth="1"/>
    <col min="25" max="28" width="8.00390625" style="190" customWidth="1"/>
    <col min="29" max="29" width="9.421875" style="190" customWidth="1"/>
    <col min="30" max="30" width="8.421875" style="190" customWidth="1"/>
    <col min="31" max="31" width="8.00390625" style="190" customWidth="1"/>
    <col min="32" max="33" width="8.421875" style="190" customWidth="1"/>
    <col min="34" max="36" width="8.57421875" style="190" customWidth="1"/>
    <col min="37" max="37" width="8.421875" style="190" customWidth="1"/>
    <col min="38" max="41" width="9.421875" style="190" customWidth="1"/>
    <col min="42" max="42" width="8.00390625" style="190" customWidth="1"/>
    <col min="43" max="47" width="8.421875" style="190" customWidth="1"/>
    <col min="48" max="48" width="7.140625" style="190" customWidth="1"/>
    <col min="49" max="50" width="8.421875" style="190" customWidth="1"/>
    <col min="51" max="52" width="8.8515625" style="190" customWidth="1"/>
    <col min="53" max="16384" width="9.421875" style="190" customWidth="1"/>
  </cols>
  <sheetData>
    <row r="1" spans="1:52" s="185" customFormat="1" ht="36.75" customHeight="1">
      <c r="A1" s="622" t="s">
        <v>278</v>
      </c>
      <c r="B1" s="186">
        <v>2015</v>
      </c>
      <c r="C1" s="186"/>
      <c r="D1" s="187" t="s">
        <v>8</v>
      </c>
      <c r="E1" s="187" t="s">
        <v>9</v>
      </c>
      <c r="F1" s="187" t="s">
        <v>10</v>
      </c>
      <c r="G1" s="187" t="s">
        <v>11</v>
      </c>
      <c r="H1" s="187">
        <v>2016</v>
      </c>
      <c r="I1" s="186" t="s">
        <v>295</v>
      </c>
      <c r="J1" s="186"/>
      <c r="K1" s="187" t="s">
        <v>16</v>
      </c>
      <c r="L1" s="187" t="s">
        <v>17</v>
      </c>
      <c r="M1" s="187" t="s">
        <v>20</v>
      </c>
      <c r="N1" s="187" t="s">
        <v>21</v>
      </c>
      <c r="O1" s="187">
        <v>2017</v>
      </c>
      <c r="P1" s="186" t="s">
        <v>296</v>
      </c>
      <c r="Q1" s="186"/>
      <c r="R1" s="187" t="s">
        <v>27</v>
      </c>
      <c r="S1" s="187" t="s">
        <v>29</v>
      </c>
      <c r="T1" s="187" t="s">
        <v>32</v>
      </c>
      <c r="U1" s="187" t="s">
        <v>35</v>
      </c>
      <c r="V1" s="187">
        <v>2018</v>
      </c>
      <c r="W1" s="186" t="s">
        <v>297</v>
      </c>
      <c r="X1" s="186"/>
      <c r="Y1" s="186" t="s">
        <v>39</v>
      </c>
      <c r="Z1" s="186" t="s">
        <v>40</v>
      </c>
      <c r="AA1" s="186" t="s">
        <v>44</v>
      </c>
      <c r="AB1" s="186" t="s">
        <v>45</v>
      </c>
      <c r="AC1" s="186">
        <v>2019</v>
      </c>
      <c r="AD1" s="186" t="s">
        <v>298</v>
      </c>
      <c r="AE1" s="186" t="s">
        <v>46</v>
      </c>
      <c r="AF1" s="186" t="s">
        <v>47</v>
      </c>
      <c r="AG1" s="186" t="s">
        <v>48</v>
      </c>
      <c r="AH1" s="186" t="s">
        <v>49</v>
      </c>
      <c r="AI1" s="186">
        <v>2020</v>
      </c>
      <c r="AJ1" s="186" t="s">
        <v>299</v>
      </c>
      <c r="AK1" s="186" t="s">
        <v>51</v>
      </c>
      <c r="AL1" s="186" t="s">
        <v>54</v>
      </c>
      <c r="AM1" s="186" t="s">
        <v>55</v>
      </c>
      <c r="AN1" s="186" t="s">
        <v>56</v>
      </c>
      <c r="AO1" s="186">
        <v>2021</v>
      </c>
      <c r="AP1" s="186" t="s">
        <v>300</v>
      </c>
      <c r="AQ1" s="186" t="s">
        <v>57</v>
      </c>
      <c r="AR1" s="186" t="s">
        <v>58</v>
      </c>
      <c r="AS1" s="186" t="s">
        <v>59</v>
      </c>
      <c r="AT1" s="186" t="s">
        <v>60</v>
      </c>
      <c r="AU1" s="186">
        <v>2022</v>
      </c>
      <c r="AV1" s="186" t="s">
        <v>301</v>
      </c>
      <c r="AW1" s="186" t="s">
        <v>62</v>
      </c>
      <c r="AX1" s="186" t="s">
        <v>63</v>
      </c>
      <c r="AY1" s="186" t="s">
        <v>64</v>
      </c>
      <c r="AZ1" s="186" t="s">
        <v>302</v>
      </c>
    </row>
    <row r="2" spans="1:52" ht="15" customHeight="1">
      <c r="A2" s="623" t="s">
        <v>22</v>
      </c>
      <c r="B2" s="188"/>
      <c r="C2" s="189"/>
      <c r="D2" s="188"/>
      <c r="E2" s="188"/>
      <c r="F2" s="188"/>
      <c r="G2" s="188"/>
      <c r="H2" s="188"/>
      <c r="I2" s="188"/>
      <c r="J2" s="189"/>
      <c r="K2" s="188"/>
      <c r="L2" s="188"/>
      <c r="M2" s="188"/>
      <c r="N2" s="188"/>
      <c r="O2" s="188"/>
      <c r="P2" s="188"/>
      <c r="Q2" s="189"/>
      <c r="R2" s="188"/>
      <c r="S2" s="188"/>
      <c r="T2" s="188"/>
      <c r="U2" s="188"/>
      <c r="V2" s="188"/>
      <c r="W2" s="188"/>
      <c r="X2" s="189"/>
      <c r="Y2" s="188"/>
      <c r="Z2" s="188"/>
      <c r="AA2" s="188"/>
      <c r="AB2" s="188"/>
      <c r="AC2" s="188"/>
      <c r="AD2" s="188"/>
      <c r="AE2" s="188"/>
      <c r="AF2" s="188"/>
      <c r="AG2" s="188"/>
      <c r="AJ2" s="188"/>
      <c r="AK2" s="188"/>
      <c r="AQ2" s="188"/>
      <c r="AR2" s="188"/>
      <c r="AS2" s="188"/>
      <c r="AT2" s="188"/>
      <c r="AU2" s="188"/>
      <c r="AV2" s="188"/>
      <c r="AW2" s="188"/>
      <c r="AX2" s="188"/>
      <c r="AY2" s="188"/>
      <c r="AZ2" s="188"/>
    </row>
    <row r="3" spans="1:53" ht="12.75" customHeight="1">
      <c r="A3" s="624" t="s">
        <v>279</v>
      </c>
      <c r="B3" s="191">
        <v>574.3</v>
      </c>
      <c r="C3" s="192"/>
      <c r="D3" s="193">
        <v>128.1</v>
      </c>
      <c r="E3" s="191">
        <v>134.9</v>
      </c>
      <c r="F3" s="191">
        <v>137.7</v>
      </c>
      <c r="G3" s="191">
        <v>135</v>
      </c>
      <c r="H3" s="191">
        <v>535.6</v>
      </c>
      <c r="I3" s="194">
        <f aca="true" t="shared" si="0" ref="I3:I8">H3/B3-1</f>
        <v>-0.06738638342329784</v>
      </c>
      <c r="J3" s="195"/>
      <c r="K3" s="193">
        <v>130.6</v>
      </c>
      <c r="L3" s="191">
        <v>133.6</v>
      </c>
      <c r="M3" s="191">
        <v>135.6</v>
      </c>
      <c r="N3" s="191">
        <v>122.2</v>
      </c>
      <c r="O3" s="191">
        <v>522</v>
      </c>
      <c r="P3" s="194">
        <f aca="true" t="shared" si="1" ref="P3:P8">O3/H3-1</f>
        <v>-0.025392083644510843</v>
      </c>
      <c r="Q3" s="196"/>
      <c r="R3" s="193">
        <v>110.8</v>
      </c>
      <c r="S3" s="191">
        <v>116.7</v>
      </c>
      <c r="T3" s="191">
        <v>138.9</v>
      </c>
      <c r="U3" s="191">
        <v>135.4</v>
      </c>
      <c r="V3" s="191">
        <v>501.8</v>
      </c>
      <c r="W3" s="194">
        <f aca="true" t="shared" si="2" ref="W3:W8">V3/O3-1</f>
        <v>-0.03869731800766285</v>
      </c>
      <c r="X3" s="197"/>
      <c r="Y3" s="193">
        <v>141.7</v>
      </c>
      <c r="Z3" s="198">
        <v>144.9</v>
      </c>
      <c r="AA3" s="198">
        <v>141</v>
      </c>
      <c r="AB3" s="198">
        <v>138</v>
      </c>
      <c r="AC3" s="198">
        <v>565.6</v>
      </c>
      <c r="AD3" s="199">
        <f>AC3/V3-1</f>
        <v>0.12714228776404934</v>
      </c>
      <c r="AE3" s="198">
        <v>141</v>
      </c>
      <c r="AF3" s="198">
        <v>139.8</v>
      </c>
      <c r="AG3" s="198">
        <v>131.1</v>
      </c>
      <c r="AH3" s="198">
        <v>148.5</v>
      </c>
      <c r="AI3" s="198">
        <v>560.4</v>
      </c>
      <c r="AJ3" s="199">
        <f>AI3/AC3-1</f>
        <v>-0.009193776520509234</v>
      </c>
      <c r="AK3" s="198">
        <v>146.4</v>
      </c>
      <c r="AL3" s="277">
        <v>146.8</v>
      </c>
      <c r="AM3" s="277">
        <v>146.9</v>
      </c>
      <c r="AN3" s="277">
        <f>AO3-AK3-AL3-AM3</f>
        <v>137.50000000000003</v>
      </c>
      <c r="AO3" s="277">
        <v>577.6</v>
      </c>
      <c r="AP3" s="438">
        <f>AO3/AI3-1</f>
        <v>0.03069236259814434</v>
      </c>
      <c r="AQ3" s="277">
        <v>151.1</v>
      </c>
      <c r="AR3" s="277">
        <v>145.2</v>
      </c>
      <c r="AS3" s="277">
        <v>146.2</v>
      </c>
      <c r="AT3" s="277">
        <v>143.5</v>
      </c>
      <c r="AU3" s="277">
        <v>586</v>
      </c>
      <c r="AV3" s="438">
        <f>AU3/AO3-1</f>
        <v>0.01454293628808867</v>
      </c>
      <c r="AW3" s="277">
        <v>149</v>
      </c>
      <c r="AX3" s="277">
        <v>146.8</v>
      </c>
      <c r="AY3" s="454">
        <v>147.7</v>
      </c>
      <c r="AZ3" s="573">
        <f>AY3/AS3-1</f>
        <v>0.010259917920656614</v>
      </c>
      <c r="BA3" s="560"/>
    </row>
    <row r="4" spans="1:52" ht="12.75" customHeight="1">
      <c r="A4" s="624" t="s">
        <v>280</v>
      </c>
      <c r="B4" s="191">
        <v>263.7</v>
      </c>
      <c r="C4" s="200"/>
      <c r="D4" s="193">
        <v>66.7</v>
      </c>
      <c r="E4" s="191">
        <v>72.3</v>
      </c>
      <c r="F4" s="191">
        <v>73.3</v>
      </c>
      <c r="G4" s="191">
        <v>55.1</v>
      </c>
      <c r="H4" s="191">
        <v>267.4</v>
      </c>
      <c r="I4" s="194">
        <f t="shared" si="0"/>
        <v>0.014031095942358629</v>
      </c>
      <c r="J4" s="196"/>
      <c r="K4" s="193">
        <v>69.7</v>
      </c>
      <c r="L4" s="191">
        <v>67.3</v>
      </c>
      <c r="M4" s="191">
        <v>73.6</v>
      </c>
      <c r="N4" s="191">
        <v>47.3</v>
      </c>
      <c r="O4" s="191">
        <v>257.9</v>
      </c>
      <c r="P4" s="194">
        <f t="shared" si="1"/>
        <v>-0.035527299925205647</v>
      </c>
      <c r="Q4" s="196"/>
      <c r="R4" s="193">
        <v>66.2</v>
      </c>
      <c r="S4" s="191">
        <v>65.9</v>
      </c>
      <c r="T4" s="191">
        <v>72</v>
      </c>
      <c r="U4" s="191">
        <v>62.3</v>
      </c>
      <c r="V4" s="191">
        <v>266.4</v>
      </c>
      <c r="W4" s="194">
        <f t="shared" si="2"/>
        <v>0.032958511050794836</v>
      </c>
      <c r="X4" s="197"/>
      <c r="Y4" s="193">
        <v>67.6</v>
      </c>
      <c r="Z4" s="201">
        <v>68.2</v>
      </c>
      <c r="AA4" s="201">
        <v>74.3</v>
      </c>
      <c r="AB4" s="198">
        <v>56</v>
      </c>
      <c r="AC4" s="198">
        <v>266.1</v>
      </c>
      <c r="AD4" s="199">
        <f aca="true" t="shared" si="3" ref="AD4:AD16">AC4/V4-1</f>
        <v>-0.001126126126125948</v>
      </c>
      <c r="AE4" s="198">
        <v>70</v>
      </c>
      <c r="AF4" s="198">
        <v>61.2</v>
      </c>
      <c r="AG4" s="198">
        <v>65.4</v>
      </c>
      <c r="AH4" s="198">
        <v>62.9</v>
      </c>
      <c r="AI4" s="198">
        <v>259.5</v>
      </c>
      <c r="AJ4" s="199">
        <f>AI4/AC4-1</f>
        <v>-0.024802705749718212</v>
      </c>
      <c r="AK4" s="198">
        <v>71.6</v>
      </c>
      <c r="AL4" s="298">
        <v>71.9</v>
      </c>
      <c r="AM4" s="298">
        <v>77.2</v>
      </c>
      <c r="AN4" s="298">
        <f>AO4-AK4-AL4-AM4</f>
        <v>61.199999999999974</v>
      </c>
      <c r="AO4" s="298">
        <v>281.9</v>
      </c>
      <c r="AP4" s="438">
        <f aca="true" t="shared" si="4" ref="AP4:AP16">AO4/AI4-1</f>
        <v>0.08631984585741792</v>
      </c>
      <c r="AQ4" s="298">
        <v>72.3</v>
      </c>
      <c r="AR4" s="298">
        <v>71.7</v>
      </c>
      <c r="AS4" s="298">
        <v>73.8</v>
      </c>
      <c r="AT4" s="298">
        <v>60</v>
      </c>
      <c r="AU4" s="298">
        <v>277.8</v>
      </c>
      <c r="AV4" s="438">
        <f aca="true" t="shared" si="5" ref="AV4:AV16">AU4/AO4-1</f>
        <v>-0.014544164597374842</v>
      </c>
      <c r="AW4" s="298">
        <v>71.9</v>
      </c>
      <c r="AX4" s="298">
        <v>70.3</v>
      </c>
      <c r="AY4" s="455">
        <v>73.9</v>
      </c>
      <c r="AZ4" s="573">
        <f aca="true" t="shared" si="6" ref="AZ4:AZ16">AY4/AS4-1</f>
        <v>0.0013550135501356753</v>
      </c>
    </row>
    <row r="5" spans="1:52" ht="12.75" customHeight="1">
      <c r="A5" s="624" t="s">
        <v>281</v>
      </c>
      <c r="B5" s="191">
        <v>12.7</v>
      </c>
      <c r="C5" s="200"/>
      <c r="D5" s="193">
        <v>3.4</v>
      </c>
      <c r="E5" s="191">
        <v>2.8</v>
      </c>
      <c r="F5" s="191">
        <v>3.6</v>
      </c>
      <c r="G5" s="191">
        <v>3.1</v>
      </c>
      <c r="H5" s="191">
        <v>13</v>
      </c>
      <c r="I5" s="194">
        <f t="shared" si="0"/>
        <v>0.023622047244094446</v>
      </c>
      <c r="J5" s="196"/>
      <c r="K5" s="193">
        <v>4.3</v>
      </c>
      <c r="L5" s="191">
        <v>3.7</v>
      </c>
      <c r="M5" s="191">
        <v>4.1</v>
      </c>
      <c r="N5" s="191">
        <v>1.6</v>
      </c>
      <c r="O5" s="191">
        <v>13.7</v>
      </c>
      <c r="P5" s="194">
        <f t="shared" si="1"/>
        <v>0.05384615384615388</v>
      </c>
      <c r="Q5" s="196"/>
      <c r="R5" s="193">
        <v>3.9</v>
      </c>
      <c r="S5" s="191">
        <v>4.3</v>
      </c>
      <c r="T5" s="191">
        <v>3.9</v>
      </c>
      <c r="U5" s="191">
        <v>3.7</v>
      </c>
      <c r="V5" s="191">
        <v>15.8</v>
      </c>
      <c r="W5" s="194">
        <f t="shared" si="2"/>
        <v>0.15328467153284686</v>
      </c>
      <c r="X5" s="197"/>
      <c r="Y5" s="193">
        <v>4</v>
      </c>
      <c r="Z5" s="201">
        <v>2.8</v>
      </c>
      <c r="AA5" s="201">
        <v>4.4</v>
      </c>
      <c r="AB5" s="198">
        <v>3.7</v>
      </c>
      <c r="AC5" s="198">
        <v>14.9</v>
      </c>
      <c r="AD5" s="199">
        <f t="shared" si="3"/>
        <v>-0.05696202531645567</v>
      </c>
      <c r="AE5" s="198">
        <v>0</v>
      </c>
      <c r="AF5" s="198">
        <v>0</v>
      </c>
      <c r="AG5" s="198">
        <v>0</v>
      </c>
      <c r="AH5" s="198" t="s">
        <v>50</v>
      </c>
      <c r="AI5" s="198" t="s">
        <v>50</v>
      </c>
      <c r="AJ5" s="199" t="s">
        <v>15</v>
      </c>
      <c r="AK5" s="198" t="s">
        <v>15</v>
      </c>
      <c r="AL5" s="299" t="s">
        <v>15</v>
      </c>
      <c r="AM5" s="299" t="s">
        <v>15</v>
      </c>
      <c r="AN5" s="299" t="s">
        <v>15</v>
      </c>
      <c r="AO5" s="299" t="s">
        <v>15</v>
      </c>
      <c r="AP5" s="439" t="s">
        <v>15</v>
      </c>
      <c r="AQ5" s="299" t="s">
        <v>15</v>
      </c>
      <c r="AR5" s="299" t="s">
        <v>15</v>
      </c>
      <c r="AS5" s="299" t="s">
        <v>15</v>
      </c>
      <c r="AT5" s="299" t="s">
        <v>15</v>
      </c>
      <c r="AU5" s="299" t="s">
        <v>15</v>
      </c>
      <c r="AV5" s="439" t="s">
        <v>15</v>
      </c>
      <c r="AW5" s="299" t="s">
        <v>15</v>
      </c>
      <c r="AX5" s="299" t="s">
        <v>15</v>
      </c>
      <c r="AY5" s="456" t="s">
        <v>15</v>
      </c>
      <c r="AZ5" s="574" t="s">
        <v>15</v>
      </c>
    </row>
    <row r="6" spans="1:52" ht="12.75" customHeight="1">
      <c r="A6" s="624" t="s">
        <v>282</v>
      </c>
      <c r="B6" s="202">
        <v>1283</v>
      </c>
      <c r="C6" s="200"/>
      <c r="D6" s="193">
        <v>295</v>
      </c>
      <c r="E6" s="191">
        <v>272</v>
      </c>
      <c r="F6" s="191">
        <v>321</v>
      </c>
      <c r="G6" s="191">
        <v>303</v>
      </c>
      <c r="H6" s="202">
        <v>1191</v>
      </c>
      <c r="I6" s="194">
        <f t="shared" si="0"/>
        <v>-0.07170693686671858</v>
      </c>
      <c r="J6" s="196"/>
      <c r="K6" s="193">
        <v>293.5</v>
      </c>
      <c r="L6" s="191">
        <v>298.4</v>
      </c>
      <c r="M6" s="191">
        <v>323.8</v>
      </c>
      <c r="N6" s="191">
        <v>302.5</v>
      </c>
      <c r="O6" s="202">
        <v>1218.2</v>
      </c>
      <c r="P6" s="194">
        <f t="shared" si="1"/>
        <v>0.022837951301427406</v>
      </c>
      <c r="Q6" s="196"/>
      <c r="R6" s="193">
        <v>239.3</v>
      </c>
      <c r="S6" s="191">
        <v>239.1</v>
      </c>
      <c r="T6" s="191">
        <v>357.8</v>
      </c>
      <c r="U6" s="191">
        <v>352.6</v>
      </c>
      <c r="V6" s="202">
        <v>1188.8</v>
      </c>
      <c r="W6" s="194">
        <f t="shared" si="2"/>
        <v>-0.024133968149729235</v>
      </c>
      <c r="X6" s="197"/>
      <c r="Y6" s="193">
        <v>321</v>
      </c>
      <c r="Z6" s="201">
        <v>383.6</v>
      </c>
      <c r="AA6" s="201">
        <v>313.3</v>
      </c>
      <c r="AB6" s="198">
        <v>382.3</v>
      </c>
      <c r="AC6" s="203">
        <v>1400.2</v>
      </c>
      <c r="AD6" s="199">
        <f t="shared" si="3"/>
        <v>0.17782637954239577</v>
      </c>
      <c r="AE6" s="203">
        <v>329.2</v>
      </c>
      <c r="AF6" s="203">
        <v>365.9</v>
      </c>
      <c r="AG6" s="203">
        <v>280.4</v>
      </c>
      <c r="AH6" s="203">
        <v>347.5</v>
      </c>
      <c r="AI6" s="203">
        <v>1322.9</v>
      </c>
      <c r="AJ6" s="199">
        <f>AI6/AC6-1</f>
        <v>-0.05520639908584479</v>
      </c>
      <c r="AK6" s="203">
        <v>298.6</v>
      </c>
      <c r="AL6" s="300">
        <v>360.8</v>
      </c>
      <c r="AM6" s="300">
        <v>323.2</v>
      </c>
      <c r="AN6" s="300">
        <f>AO6-AK6-AL6-AM6</f>
        <v>349.59999999999997</v>
      </c>
      <c r="AO6" s="300">
        <v>1332.2</v>
      </c>
      <c r="AP6" s="438">
        <f t="shared" si="4"/>
        <v>0.007030009826895389</v>
      </c>
      <c r="AQ6" s="300">
        <v>339.8</v>
      </c>
      <c r="AR6" s="300">
        <v>328.7</v>
      </c>
      <c r="AS6" s="300">
        <v>331.3</v>
      </c>
      <c r="AT6" s="300">
        <v>298.6</v>
      </c>
      <c r="AU6" s="300">
        <v>1298.4</v>
      </c>
      <c r="AV6" s="438">
        <f t="shared" si="5"/>
        <v>-0.025371565830956233</v>
      </c>
      <c r="AW6" s="300">
        <v>374.9</v>
      </c>
      <c r="AX6" s="300">
        <v>324.2</v>
      </c>
      <c r="AY6" s="457">
        <v>381</v>
      </c>
      <c r="AZ6" s="573">
        <f t="shared" si="6"/>
        <v>0.15001509206157548</v>
      </c>
    </row>
    <row r="7" spans="1:52" ht="12.75" customHeight="1">
      <c r="A7" s="624" t="s">
        <v>283</v>
      </c>
      <c r="B7" s="191">
        <v>86.9</v>
      </c>
      <c r="C7" s="200"/>
      <c r="D7" s="193">
        <v>26.2</v>
      </c>
      <c r="E7" s="191">
        <v>27.3</v>
      </c>
      <c r="F7" s="191">
        <v>30.7</v>
      </c>
      <c r="G7" s="191">
        <v>29.6</v>
      </c>
      <c r="H7" s="191">
        <v>113.8</v>
      </c>
      <c r="I7" s="194">
        <f t="shared" si="0"/>
        <v>0.3095512082853853</v>
      </c>
      <c r="J7" s="196"/>
      <c r="K7" s="193">
        <v>33.5</v>
      </c>
      <c r="L7" s="191">
        <v>21.9</v>
      </c>
      <c r="M7" s="191">
        <v>31.3</v>
      </c>
      <c r="N7" s="191">
        <v>30.64</v>
      </c>
      <c r="O7" s="191">
        <v>117.3</v>
      </c>
      <c r="P7" s="194">
        <f t="shared" si="1"/>
        <v>0.03075571177504388</v>
      </c>
      <c r="Q7" s="196"/>
      <c r="R7" s="193">
        <v>18.3</v>
      </c>
      <c r="S7" s="191">
        <v>20.1</v>
      </c>
      <c r="T7" s="191">
        <v>23.7</v>
      </c>
      <c r="U7" s="191">
        <v>21.2</v>
      </c>
      <c r="V7" s="191">
        <v>83.2</v>
      </c>
      <c r="W7" s="194">
        <f t="shared" si="2"/>
        <v>-0.29070758738277913</v>
      </c>
      <c r="X7" s="197"/>
      <c r="Y7" s="193">
        <v>19.8</v>
      </c>
      <c r="Z7" s="201">
        <v>30.8</v>
      </c>
      <c r="AA7" s="201">
        <v>20.8</v>
      </c>
      <c r="AB7" s="198">
        <v>32.3</v>
      </c>
      <c r="AC7" s="198">
        <v>103.7</v>
      </c>
      <c r="AD7" s="199">
        <f t="shared" si="3"/>
        <v>0.24639423076923084</v>
      </c>
      <c r="AE7" s="198">
        <v>25.2</v>
      </c>
      <c r="AF7" s="198">
        <v>20.4</v>
      </c>
      <c r="AG7" s="198">
        <v>21.5</v>
      </c>
      <c r="AH7" s="198">
        <v>29.7</v>
      </c>
      <c r="AI7" s="198">
        <v>96.8</v>
      </c>
      <c r="AJ7" s="199">
        <f>AI7/AC7-1</f>
        <v>-0.0665380906460945</v>
      </c>
      <c r="AK7" s="198">
        <v>16.6</v>
      </c>
      <c r="AL7" s="298">
        <v>21.5</v>
      </c>
      <c r="AM7" s="298">
        <v>23.3</v>
      </c>
      <c r="AN7" s="298">
        <f>AO7-AK7-AL7-AM7</f>
        <v>19.899999999999988</v>
      </c>
      <c r="AO7" s="298">
        <v>81.3</v>
      </c>
      <c r="AP7" s="438">
        <f t="shared" si="4"/>
        <v>-0.1601239669421488</v>
      </c>
      <c r="AQ7" s="298">
        <v>21.1</v>
      </c>
      <c r="AR7" s="298">
        <v>19.8</v>
      </c>
      <c r="AS7" s="298">
        <v>20.9</v>
      </c>
      <c r="AT7" s="298">
        <v>25.5</v>
      </c>
      <c r="AU7" s="298">
        <v>87.3</v>
      </c>
      <c r="AV7" s="438">
        <f t="shared" si="5"/>
        <v>0.07380073800738018</v>
      </c>
      <c r="AW7" s="298">
        <v>30.9</v>
      </c>
      <c r="AX7" s="298">
        <v>26.8</v>
      </c>
      <c r="AY7" s="455">
        <v>25.6</v>
      </c>
      <c r="AZ7" s="573">
        <f t="shared" si="6"/>
        <v>0.2248803827751198</v>
      </c>
    </row>
    <row r="8" spans="1:52" ht="12.75" customHeight="1">
      <c r="A8" s="624" t="s">
        <v>284</v>
      </c>
      <c r="B8" s="191">
        <v>29.3</v>
      </c>
      <c r="C8" s="200"/>
      <c r="D8" s="193">
        <v>8</v>
      </c>
      <c r="E8" s="191">
        <v>7.8</v>
      </c>
      <c r="F8" s="191">
        <v>6.3</v>
      </c>
      <c r="G8" s="191">
        <v>8</v>
      </c>
      <c r="H8" s="191">
        <v>30.1</v>
      </c>
      <c r="I8" s="194">
        <f t="shared" si="0"/>
        <v>0.027303754266211566</v>
      </c>
      <c r="J8" s="196"/>
      <c r="K8" s="193">
        <v>7.8</v>
      </c>
      <c r="L8" s="191">
        <v>7.7</v>
      </c>
      <c r="M8" s="191">
        <v>6.3</v>
      </c>
      <c r="N8" s="191">
        <v>8.2</v>
      </c>
      <c r="O8" s="191">
        <v>30</v>
      </c>
      <c r="P8" s="194">
        <f t="shared" si="1"/>
        <v>-0.0033222591362126463</v>
      </c>
      <c r="Q8" s="196"/>
      <c r="R8" s="193">
        <v>7.5</v>
      </c>
      <c r="S8" s="191">
        <v>7.6</v>
      </c>
      <c r="T8" s="191">
        <v>6.9</v>
      </c>
      <c r="U8" s="191">
        <v>8.2</v>
      </c>
      <c r="V8" s="191">
        <v>30.1</v>
      </c>
      <c r="W8" s="194">
        <f t="shared" si="2"/>
        <v>0.0033333333333334103</v>
      </c>
      <c r="X8" s="197"/>
      <c r="Y8" s="193">
        <v>7.6</v>
      </c>
      <c r="Z8" s="201">
        <v>7.8</v>
      </c>
      <c r="AA8" s="201">
        <v>6.7</v>
      </c>
      <c r="AB8" s="198">
        <v>8</v>
      </c>
      <c r="AC8" s="198">
        <v>30.1</v>
      </c>
      <c r="AD8" s="199">
        <f t="shared" si="3"/>
        <v>0</v>
      </c>
      <c r="AE8" s="198">
        <v>7.9</v>
      </c>
      <c r="AF8" s="198">
        <v>7.9</v>
      </c>
      <c r="AG8" s="198">
        <v>6.4</v>
      </c>
      <c r="AH8" s="198">
        <v>8</v>
      </c>
      <c r="AI8" s="198">
        <v>30.2</v>
      </c>
      <c r="AJ8" s="199">
        <f>AI8/AC8-1</f>
        <v>0.0033222591362125353</v>
      </c>
      <c r="AK8" s="198">
        <v>7.8</v>
      </c>
      <c r="AL8" s="298">
        <v>7.9</v>
      </c>
      <c r="AM8" s="298">
        <v>6.4</v>
      </c>
      <c r="AN8" s="298">
        <f>AO8-AK8-AL8-AM8</f>
        <v>7.969999999999999</v>
      </c>
      <c r="AO8" s="298">
        <v>30.07</v>
      </c>
      <c r="AP8" s="438">
        <f t="shared" si="4"/>
        <v>-0.004304635761589348</v>
      </c>
      <c r="AQ8" s="298">
        <v>7.8</v>
      </c>
      <c r="AR8" s="298">
        <v>7.9</v>
      </c>
      <c r="AS8" s="298">
        <v>5.9</v>
      </c>
      <c r="AT8" s="298">
        <v>7.2</v>
      </c>
      <c r="AU8" s="298">
        <v>28.8</v>
      </c>
      <c r="AV8" s="438">
        <f t="shared" si="5"/>
        <v>-0.04223478550049886</v>
      </c>
      <c r="AW8" s="298">
        <v>7.1</v>
      </c>
      <c r="AX8" s="298">
        <v>7.3</v>
      </c>
      <c r="AY8" s="455">
        <v>6.6</v>
      </c>
      <c r="AZ8" s="573">
        <f t="shared" si="6"/>
        <v>0.11864406779661008</v>
      </c>
    </row>
    <row r="9" spans="1:52" ht="15" customHeight="1">
      <c r="A9" s="623" t="s">
        <v>285</v>
      </c>
      <c r="B9" s="204"/>
      <c r="C9" s="200"/>
      <c r="D9" s="204"/>
      <c r="E9" s="204"/>
      <c r="F9" s="204"/>
      <c r="G9" s="204"/>
      <c r="H9" s="205"/>
      <c r="I9" s="204"/>
      <c r="J9" s="204"/>
      <c r="K9" s="204"/>
      <c r="L9" s="204"/>
      <c r="M9" s="204"/>
      <c r="N9" s="204"/>
      <c r="O9" s="205"/>
      <c r="P9" s="195"/>
      <c r="Q9" s="196"/>
      <c r="R9" s="204"/>
      <c r="S9" s="204"/>
      <c r="T9" s="204"/>
      <c r="U9" s="204"/>
      <c r="V9" s="204"/>
      <c r="W9" s="197"/>
      <c r="X9" s="197"/>
      <c r="Y9" s="204"/>
      <c r="Z9" s="204"/>
      <c r="AA9" s="204"/>
      <c r="AB9" s="204"/>
      <c r="AC9" s="204"/>
      <c r="AD9" s="188"/>
      <c r="AE9" s="204"/>
      <c r="AF9" s="188"/>
      <c r="AG9" s="188"/>
      <c r="AH9" s="188"/>
      <c r="AI9" s="188"/>
      <c r="AJ9" s="188"/>
      <c r="AK9" s="188"/>
      <c r="AL9" s="301"/>
      <c r="AM9" s="301"/>
      <c r="AN9" s="301"/>
      <c r="AO9" s="301"/>
      <c r="AP9" s="438"/>
      <c r="AQ9" s="301"/>
      <c r="AR9" s="301"/>
      <c r="AS9" s="301"/>
      <c r="AT9" s="301"/>
      <c r="AU9" s="301"/>
      <c r="AV9" s="438"/>
      <c r="AW9" s="301"/>
      <c r="AX9" s="301"/>
      <c r="AY9" s="301"/>
      <c r="AZ9" s="301"/>
    </row>
    <row r="10" spans="1:53" ht="12.75" customHeight="1">
      <c r="A10" s="624" t="s">
        <v>286</v>
      </c>
      <c r="B10" s="206">
        <v>97.6</v>
      </c>
      <c r="C10" s="200"/>
      <c r="D10" s="193">
        <v>23.7</v>
      </c>
      <c r="E10" s="206">
        <v>23.1</v>
      </c>
      <c r="F10" s="206">
        <v>22.1</v>
      </c>
      <c r="G10" s="206">
        <v>20.9</v>
      </c>
      <c r="H10" s="206">
        <v>89.8</v>
      </c>
      <c r="I10" s="207">
        <f>H10/B10-1</f>
        <v>-0.07991803278688525</v>
      </c>
      <c r="J10" s="208"/>
      <c r="K10" s="193">
        <v>17.2</v>
      </c>
      <c r="L10" s="206">
        <v>21.5</v>
      </c>
      <c r="M10" s="206">
        <v>21.9</v>
      </c>
      <c r="N10" s="206">
        <v>20.4</v>
      </c>
      <c r="O10" s="206">
        <v>81</v>
      </c>
      <c r="P10" s="207">
        <f>O10/H10-1</f>
        <v>-0.09799554565701551</v>
      </c>
      <c r="Q10" s="196"/>
      <c r="R10" s="193">
        <v>20.1</v>
      </c>
      <c r="S10" s="206">
        <v>22.5</v>
      </c>
      <c r="T10" s="206">
        <v>18.2</v>
      </c>
      <c r="U10" s="206">
        <v>18</v>
      </c>
      <c r="V10" s="206">
        <v>78.8</v>
      </c>
      <c r="W10" s="207">
        <f>V10/O10-1</f>
        <v>-0.02716049382716057</v>
      </c>
      <c r="X10" s="197"/>
      <c r="Y10" s="193">
        <v>16.3</v>
      </c>
      <c r="Z10" s="198">
        <v>19.7</v>
      </c>
      <c r="AA10" s="198">
        <v>21.5</v>
      </c>
      <c r="AB10" s="198">
        <v>19</v>
      </c>
      <c r="AC10" s="198">
        <v>76.5</v>
      </c>
      <c r="AD10" s="199">
        <f t="shared" si="3"/>
        <v>-0.029187817258883197</v>
      </c>
      <c r="AE10" s="198">
        <v>14.1</v>
      </c>
      <c r="AF10" s="198">
        <v>16.6</v>
      </c>
      <c r="AG10" s="203">
        <v>18.5</v>
      </c>
      <c r="AH10" s="203">
        <v>17.7</v>
      </c>
      <c r="AI10" s="203">
        <v>66.9</v>
      </c>
      <c r="AJ10" s="199">
        <f>AI10/AC10-1</f>
        <v>-0.12549019607843126</v>
      </c>
      <c r="AK10" s="198">
        <v>16.2</v>
      </c>
      <c r="AL10" s="300">
        <v>20.1</v>
      </c>
      <c r="AM10" s="300">
        <v>19.1</v>
      </c>
      <c r="AN10" s="300">
        <f>AO10-AK10-AL10-AM10</f>
        <v>16.299999999999997</v>
      </c>
      <c r="AO10" s="300">
        <v>71.7</v>
      </c>
      <c r="AP10" s="438">
        <f t="shared" si="4"/>
        <v>0.0717488789237668</v>
      </c>
      <c r="AQ10" s="300">
        <v>18.2</v>
      </c>
      <c r="AR10" s="300">
        <v>18.7</v>
      </c>
      <c r="AS10" s="300">
        <v>10.4</v>
      </c>
      <c r="AT10" s="300">
        <v>8.9</v>
      </c>
      <c r="AU10" s="300">
        <v>56.2</v>
      </c>
      <c r="AV10" s="438">
        <f t="shared" si="5"/>
        <v>-0.21617852161785212</v>
      </c>
      <c r="AW10" s="300">
        <v>7.6</v>
      </c>
      <c r="AX10" s="300">
        <v>7.8</v>
      </c>
      <c r="AY10" s="457">
        <v>8.7</v>
      </c>
      <c r="AZ10" s="573">
        <f t="shared" si="6"/>
        <v>-0.16346153846153855</v>
      </c>
      <c r="BA10" s="561"/>
    </row>
    <row r="11" spans="1:52" ht="12.75" customHeight="1">
      <c r="A11" s="624" t="s">
        <v>287</v>
      </c>
      <c r="B11" s="191">
        <v>2.2</v>
      </c>
      <c r="C11" s="200"/>
      <c r="D11" s="193">
        <v>0.5</v>
      </c>
      <c r="E11" s="191">
        <v>0.6</v>
      </c>
      <c r="F11" s="191">
        <v>0.5</v>
      </c>
      <c r="G11" s="191">
        <v>0.5</v>
      </c>
      <c r="H11" s="191">
        <v>2.1</v>
      </c>
      <c r="I11" s="194">
        <f>H11/B11-1</f>
        <v>-0.045454545454545525</v>
      </c>
      <c r="J11" s="208"/>
      <c r="K11" s="193">
        <v>0.3</v>
      </c>
      <c r="L11" s="191">
        <v>0.3</v>
      </c>
      <c r="M11" s="191">
        <v>0.3</v>
      </c>
      <c r="N11" s="191">
        <v>0.2</v>
      </c>
      <c r="O11" s="191">
        <v>1.1</v>
      </c>
      <c r="P11" s="194">
        <f>O11/H11-1</f>
        <v>-0.47619047619047616</v>
      </c>
      <c r="Q11" s="196"/>
      <c r="R11" s="193">
        <v>0.2</v>
      </c>
      <c r="S11" s="191">
        <v>0.2</v>
      </c>
      <c r="T11" s="191">
        <v>0.3</v>
      </c>
      <c r="U11" s="191">
        <v>0.2</v>
      </c>
      <c r="V11" s="191">
        <v>0.9</v>
      </c>
      <c r="W11" s="194">
        <f>V11/O11-1</f>
        <v>-0.18181818181818188</v>
      </c>
      <c r="X11" s="197"/>
      <c r="Y11" s="193">
        <v>0.3</v>
      </c>
      <c r="Z11" s="201">
        <v>0.1</v>
      </c>
      <c r="AA11" s="201">
        <v>0.1</v>
      </c>
      <c r="AB11" s="201">
        <v>0.2</v>
      </c>
      <c r="AC11" s="201">
        <v>0.7</v>
      </c>
      <c r="AD11" s="199">
        <f t="shared" si="3"/>
        <v>-0.22222222222222232</v>
      </c>
      <c r="AE11" s="201">
        <v>0.1</v>
      </c>
      <c r="AF11" s="201">
        <v>0.1</v>
      </c>
      <c r="AG11" s="198">
        <v>0.1</v>
      </c>
      <c r="AH11" s="198">
        <v>0.1</v>
      </c>
      <c r="AI11" s="198">
        <v>0.4</v>
      </c>
      <c r="AJ11" s="199">
        <f>AI11/AC11-1</f>
        <v>-0.4285714285714285</v>
      </c>
      <c r="AK11" s="201">
        <v>0.1</v>
      </c>
      <c r="AL11" s="298">
        <v>0.1</v>
      </c>
      <c r="AM11" s="298">
        <v>0</v>
      </c>
      <c r="AN11" s="298">
        <f>AO11-AK11-AL11-AM11</f>
        <v>0.30000000000000004</v>
      </c>
      <c r="AO11" s="298">
        <v>0.5</v>
      </c>
      <c r="AP11" s="438">
        <f t="shared" si="4"/>
        <v>0.25</v>
      </c>
      <c r="AQ11" s="298">
        <v>0.1</v>
      </c>
      <c r="AR11" s="298">
        <v>0.1</v>
      </c>
      <c r="AS11" s="298">
        <v>0.1</v>
      </c>
      <c r="AT11" s="298">
        <v>0.1</v>
      </c>
      <c r="AU11" s="298">
        <v>0.4</v>
      </c>
      <c r="AV11" s="438">
        <f t="shared" si="5"/>
        <v>-0.19999999999999996</v>
      </c>
      <c r="AW11" s="298">
        <v>0.1</v>
      </c>
      <c r="AX11" s="298">
        <v>0.2</v>
      </c>
      <c r="AY11" s="457">
        <v>0</v>
      </c>
      <c r="AZ11" s="573">
        <f t="shared" si="6"/>
        <v>-1</v>
      </c>
    </row>
    <row r="12" spans="1:52" ht="12.75" customHeight="1">
      <c r="A12" s="624" t="s">
        <v>288</v>
      </c>
      <c r="B12" s="191">
        <v>95.3</v>
      </c>
      <c r="C12" s="200"/>
      <c r="D12" s="193">
        <v>22.4</v>
      </c>
      <c r="E12" s="191">
        <v>24.5</v>
      </c>
      <c r="F12" s="191">
        <v>24.6</v>
      </c>
      <c r="G12" s="191">
        <v>20.6</v>
      </c>
      <c r="H12" s="191">
        <v>92.1</v>
      </c>
      <c r="I12" s="194">
        <f>H12/B12-1</f>
        <v>-0.033578174186778664</v>
      </c>
      <c r="J12" s="208"/>
      <c r="K12" s="193">
        <v>14.5</v>
      </c>
      <c r="L12" s="191">
        <v>21.3</v>
      </c>
      <c r="M12" s="191">
        <v>19.4</v>
      </c>
      <c r="N12" s="191">
        <v>18.8</v>
      </c>
      <c r="O12" s="191">
        <v>74</v>
      </c>
      <c r="P12" s="194">
        <f>O12/H12-1</f>
        <v>-0.19652551574375676</v>
      </c>
      <c r="Q12" s="196"/>
      <c r="R12" s="193">
        <v>15.8</v>
      </c>
      <c r="S12" s="191">
        <v>18.8</v>
      </c>
      <c r="T12" s="191">
        <v>16.7</v>
      </c>
      <c r="U12" s="191">
        <v>16.3</v>
      </c>
      <c r="V12" s="191">
        <v>67.6</v>
      </c>
      <c r="W12" s="194">
        <f>V12/O12-1</f>
        <v>-0.0864864864864866</v>
      </c>
      <c r="X12" s="197"/>
      <c r="Y12" s="193">
        <v>17.9</v>
      </c>
      <c r="Z12" s="201">
        <v>21</v>
      </c>
      <c r="AA12" s="201">
        <v>24</v>
      </c>
      <c r="AB12" s="201">
        <v>22.3</v>
      </c>
      <c r="AC12" s="201">
        <v>85.2</v>
      </c>
      <c r="AD12" s="199">
        <f t="shared" si="3"/>
        <v>0.26035502958579904</v>
      </c>
      <c r="AE12" s="201">
        <v>17.8</v>
      </c>
      <c r="AF12" s="201">
        <v>20.4</v>
      </c>
      <c r="AG12" s="198">
        <v>16.2</v>
      </c>
      <c r="AH12" s="198">
        <v>11.7</v>
      </c>
      <c r="AI12" s="198">
        <v>66.1</v>
      </c>
      <c r="AJ12" s="199">
        <f>AI12/AC12-1</f>
        <v>-0.22417840375586862</v>
      </c>
      <c r="AK12" s="201">
        <v>12.2</v>
      </c>
      <c r="AL12" s="298">
        <v>14.1</v>
      </c>
      <c r="AM12" s="298">
        <v>13.6</v>
      </c>
      <c r="AN12" s="298">
        <f>AO12-AK12-AL12-AM12</f>
        <v>11.399999999999993</v>
      </c>
      <c r="AO12" s="298">
        <v>51.3</v>
      </c>
      <c r="AP12" s="438">
        <f t="shared" si="4"/>
        <v>-0.22390317700453854</v>
      </c>
      <c r="AQ12" s="298">
        <v>15.1</v>
      </c>
      <c r="AR12" s="298">
        <v>19.6</v>
      </c>
      <c r="AS12" s="298">
        <v>10.5</v>
      </c>
      <c r="AT12" s="298">
        <v>10.7</v>
      </c>
      <c r="AU12" s="298">
        <v>55.9</v>
      </c>
      <c r="AV12" s="438">
        <f t="shared" si="5"/>
        <v>0.08966861598440556</v>
      </c>
      <c r="AW12" s="298">
        <v>9</v>
      </c>
      <c r="AX12" s="298">
        <v>9.3</v>
      </c>
      <c r="AY12" s="455">
        <v>7.7</v>
      </c>
      <c r="AZ12" s="573">
        <f t="shared" si="6"/>
        <v>-0.2666666666666666</v>
      </c>
    </row>
    <row r="13" spans="1:52" ht="15" customHeight="1">
      <c r="A13" s="623" t="s">
        <v>26</v>
      </c>
      <c r="B13" s="204"/>
      <c r="C13" s="205"/>
      <c r="D13" s="204"/>
      <c r="E13" s="204"/>
      <c r="F13" s="204"/>
      <c r="G13" s="204"/>
      <c r="H13" s="204"/>
      <c r="I13" s="204"/>
      <c r="J13" s="204"/>
      <c r="K13" s="204"/>
      <c r="L13" s="204"/>
      <c r="M13" s="204"/>
      <c r="N13" s="204"/>
      <c r="O13" s="204"/>
      <c r="P13" s="195"/>
      <c r="Q13" s="196"/>
      <c r="R13" s="204"/>
      <c r="S13" s="204"/>
      <c r="T13" s="204"/>
      <c r="U13" s="204"/>
      <c r="V13" s="204"/>
      <c r="W13" s="197"/>
      <c r="X13" s="197"/>
      <c r="Y13" s="204"/>
      <c r="Z13" s="204"/>
      <c r="AA13" s="204"/>
      <c r="AB13" s="209"/>
      <c r="AC13" s="209"/>
      <c r="AD13" s="188"/>
      <c r="AE13" s="209"/>
      <c r="AF13" s="188"/>
      <c r="AG13" s="188"/>
      <c r="AH13" s="188"/>
      <c r="AI13" s="188"/>
      <c r="AJ13" s="188"/>
      <c r="AK13" s="188"/>
      <c r="AL13" s="301"/>
      <c r="AM13" s="301"/>
      <c r="AN13" s="301"/>
      <c r="AO13" s="301"/>
      <c r="AP13" s="438"/>
      <c r="AQ13" s="301"/>
      <c r="AR13" s="301"/>
      <c r="AS13" s="301"/>
      <c r="AT13" s="301"/>
      <c r="AU13" s="301"/>
      <c r="AV13" s="438"/>
      <c r="AW13" s="301"/>
      <c r="AX13" s="301"/>
      <c r="AY13" s="301"/>
      <c r="AZ13" s="301"/>
    </row>
    <row r="14" spans="1:53" ht="12.75" customHeight="1">
      <c r="A14" s="624" t="s">
        <v>286</v>
      </c>
      <c r="B14" s="206">
        <v>46.3</v>
      </c>
      <c r="C14" s="200"/>
      <c r="D14" s="193">
        <v>14.5</v>
      </c>
      <c r="E14" s="206">
        <v>12.1</v>
      </c>
      <c r="F14" s="206">
        <v>11.3</v>
      </c>
      <c r="G14" s="206">
        <v>13.6</v>
      </c>
      <c r="H14" s="206">
        <v>51.5</v>
      </c>
      <c r="I14" s="207">
        <f>H14/B14-1</f>
        <v>0.11231101511879049</v>
      </c>
      <c r="J14" s="208"/>
      <c r="K14" s="193">
        <v>14</v>
      </c>
      <c r="L14" s="206">
        <v>13.2</v>
      </c>
      <c r="M14" s="206">
        <v>12.8</v>
      </c>
      <c r="N14" s="206">
        <v>13.4</v>
      </c>
      <c r="O14" s="206">
        <v>53.4</v>
      </c>
      <c r="P14" s="207">
        <f>O14/H14-1</f>
        <v>0.03689320388349504</v>
      </c>
      <c r="Q14" s="196"/>
      <c r="R14" s="193">
        <v>12</v>
      </c>
      <c r="S14" s="206">
        <v>12.5</v>
      </c>
      <c r="T14" s="206">
        <v>13.6</v>
      </c>
      <c r="U14" s="206">
        <v>15.2</v>
      </c>
      <c r="V14" s="206">
        <v>53.3</v>
      </c>
      <c r="W14" s="210">
        <f>V14/O14-1</f>
        <v>-0.0018726591760299671</v>
      </c>
      <c r="X14" s="197"/>
      <c r="Y14" s="193">
        <v>14.7</v>
      </c>
      <c r="Z14" s="198">
        <v>14.5</v>
      </c>
      <c r="AA14" s="198">
        <v>15.2</v>
      </c>
      <c r="AB14" s="198">
        <v>15.1</v>
      </c>
      <c r="AC14" s="198">
        <v>59.5</v>
      </c>
      <c r="AD14" s="199">
        <f t="shared" si="3"/>
        <v>0.1163227016885553</v>
      </c>
      <c r="AE14" s="198">
        <v>19</v>
      </c>
      <c r="AF14" s="198">
        <v>20.2</v>
      </c>
      <c r="AG14" s="203">
        <v>20.7</v>
      </c>
      <c r="AH14" s="203">
        <v>21.9</v>
      </c>
      <c r="AI14" s="203">
        <v>81.8</v>
      </c>
      <c r="AJ14" s="199">
        <f>AI14/AC14-1</f>
        <v>0.37478991596638656</v>
      </c>
      <c r="AK14" s="198">
        <v>22.9</v>
      </c>
      <c r="AL14" s="300">
        <v>28.3</v>
      </c>
      <c r="AM14" s="300">
        <v>27.2</v>
      </c>
      <c r="AN14" s="300">
        <f>AO14-AK14-AL14-AM14</f>
        <v>26.000000000000004</v>
      </c>
      <c r="AO14" s="300">
        <v>104.4</v>
      </c>
      <c r="AP14" s="438">
        <f t="shared" si="4"/>
        <v>0.2762836185819073</v>
      </c>
      <c r="AQ14" s="300">
        <v>23.9</v>
      </c>
      <c r="AR14" s="300">
        <v>20.6</v>
      </c>
      <c r="AS14" s="300">
        <v>23.2</v>
      </c>
      <c r="AT14" s="300">
        <v>23.1</v>
      </c>
      <c r="AU14" s="300">
        <v>90.8</v>
      </c>
      <c r="AV14" s="438">
        <f t="shared" si="5"/>
        <v>-0.13026819923371658</v>
      </c>
      <c r="AW14" s="300">
        <v>18.9</v>
      </c>
      <c r="AX14" s="300">
        <v>21.2</v>
      </c>
      <c r="AY14" s="457">
        <v>19.6</v>
      </c>
      <c r="AZ14" s="573">
        <f t="shared" si="6"/>
        <v>-0.15517241379310331</v>
      </c>
      <c r="BA14" s="561"/>
    </row>
    <row r="15" spans="1:52" ht="12.75" customHeight="1">
      <c r="A15" s="624" t="s">
        <v>289</v>
      </c>
      <c r="B15" s="191">
        <v>8.1</v>
      </c>
      <c r="C15" s="200"/>
      <c r="D15" s="193">
        <v>4.9</v>
      </c>
      <c r="E15" s="191">
        <v>2</v>
      </c>
      <c r="F15" s="191">
        <v>2.5</v>
      </c>
      <c r="G15" s="191">
        <v>2.9</v>
      </c>
      <c r="H15" s="191">
        <v>12.2</v>
      </c>
      <c r="I15" s="194">
        <f>H15/B15-1</f>
        <v>0.5061728395061729</v>
      </c>
      <c r="J15" s="208"/>
      <c r="K15" s="193">
        <v>4.8</v>
      </c>
      <c r="L15" s="191">
        <v>8.2</v>
      </c>
      <c r="M15" s="191">
        <v>3.4</v>
      </c>
      <c r="N15" s="191">
        <v>3.3</v>
      </c>
      <c r="O15" s="191">
        <v>19.7</v>
      </c>
      <c r="P15" s="194">
        <f>O15/H15-1</f>
        <v>0.6147540983606559</v>
      </c>
      <c r="Q15" s="196"/>
      <c r="R15" s="193">
        <v>4</v>
      </c>
      <c r="S15" s="191">
        <v>3.7</v>
      </c>
      <c r="T15" s="191">
        <v>3</v>
      </c>
      <c r="U15" s="191">
        <v>4</v>
      </c>
      <c r="V15" s="191">
        <v>14.7</v>
      </c>
      <c r="W15" s="194">
        <f>V15/O15-1</f>
        <v>-0.25380710659898476</v>
      </c>
      <c r="X15" s="197"/>
      <c r="Y15" s="193">
        <v>3</v>
      </c>
      <c r="Z15" s="201">
        <v>2.7</v>
      </c>
      <c r="AA15" s="201">
        <v>2.5</v>
      </c>
      <c r="AB15" s="201">
        <v>3</v>
      </c>
      <c r="AC15" s="201">
        <v>11.2</v>
      </c>
      <c r="AD15" s="199">
        <f t="shared" si="3"/>
        <v>-0.23809523809523814</v>
      </c>
      <c r="AE15" s="201">
        <v>1.6</v>
      </c>
      <c r="AF15" s="201">
        <v>3.4</v>
      </c>
      <c r="AG15" s="198">
        <v>1.9</v>
      </c>
      <c r="AH15" s="198">
        <v>2.1</v>
      </c>
      <c r="AI15" s="198">
        <v>9</v>
      </c>
      <c r="AJ15" s="199">
        <f>AI15/AC15-1</f>
        <v>-0.1964285714285714</v>
      </c>
      <c r="AK15" s="201">
        <v>1.9</v>
      </c>
      <c r="AL15" s="298">
        <v>2.7</v>
      </c>
      <c r="AM15" s="298">
        <v>2.4</v>
      </c>
      <c r="AN15" s="298">
        <f>AO15-AK15-AL15-AM15</f>
        <v>1.1999999999999988</v>
      </c>
      <c r="AO15" s="298">
        <v>8.2</v>
      </c>
      <c r="AP15" s="438">
        <f t="shared" si="4"/>
        <v>-0.08888888888888902</v>
      </c>
      <c r="AQ15" s="298">
        <v>1.2</v>
      </c>
      <c r="AR15" s="298">
        <v>0.7</v>
      </c>
      <c r="AS15" s="298">
        <v>0.5</v>
      </c>
      <c r="AT15" s="298">
        <v>0.5</v>
      </c>
      <c r="AU15" s="298">
        <v>2.9</v>
      </c>
      <c r="AV15" s="438">
        <f t="shared" si="5"/>
        <v>-0.646341463414634</v>
      </c>
      <c r="AW15" s="298">
        <v>1</v>
      </c>
      <c r="AX15" s="298">
        <v>1.1</v>
      </c>
      <c r="AY15" s="455">
        <v>1</v>
      </c>
      <c r="AZ15" s="573">
        <f t="shared" si="6"/>
        <v>1</v>
      </c>
    </row>
    <row r="16" spans="1:52" ht="12.75" customHeight="1">
      <c r="A16" s="624" t="s">
        <v>290</v>
      </c>
      <c r="B16" s="191">
        <v>22.8</v>
      </c>
      <c r="C16" s="200"/>
      <c r="D16" s="193">
        <v>7.1</v>
      </c>
      <c r="E16" s="191">
        <v>4.2</v>
      </c>
      <c r="F16" s="191">
        <v>4</v>
      </c>
      <c r="G16" s="191">
        <v>7.5</v>
      </c>
      <c r="H16" s="191">
        <v>22.9</v>
      </c>
      <c r="I16" s="194">
        <f>H16/B16-1</f>
        <v>0.004385964912280604</v>
      </c>
      <c r="J16" s="208"/>
      <c r="K16" s="193">
        <v>6.3</v>
      </c>
      <c r="L16" s="191">
        <v>7.2</v>
      </c>
      <c r="M16" s="191">
        <v>8.4</v>
      </c>
      <c r="N16" s="191">
        <v>6.1</v>
      </c>
      <c r="O16" s="191">
        <v>28</v>
      </c>
      <c r="P16" s="194">
        <f>O16/H16-1</f>
        <v>0.2227074235807862</v>
      </c>
      <c r="Q16" s="196"/>
      <c r="R16" s="193">
        <v>4.6</v>
      </c>
      <c r="S16" s="191">
        <v>4.7</v>
      </c>
      <c r="T16" s="191">
        <v>6.5</v>
      </c>
      <c r="U16" s="191">
        <v>7.4</v>
      </c>
      <c r="V16" s="191">
        <v>23.2</v>
      </c>
      <c r="W16" s="194">
        <f>V16/O16-1</f>
        <v>-0.17142857142857149</v>
      </c>
      <c r="X16" s="197"/>
      <c r="Y16" s="193">
        <v>7.4</v>
      </c>
      <c r="Z16" s="201">
        <v>7.1</v>
      </c>
      <c r="AA16" s="201">
        <v>8.3</v>
      </c>
      <c r="AB16" s="201">
        <v>8.4</v>
      </c>
      <c r="AC16" s="201">
        <v>31.2</v>
      </c>
      <c r="AD16" s="199">
        <f t="shared" si="3"/>
        <v>0.3448275862068966</v>
      </c>
      <c r="AE16" s="201">
        <v>8.5</v>
      </c>
      <c r="AF16" s="201">
        <v>7.7</v>
      </c>
      <c r="AG16" s="198">
        <v>7.6</v>
      </c>
      <c r="AH16" s="198">
        <v>7.6</v>
      </c>
      <c r="AI16" s="198">
        <v>31.4</v>
      </c>
      <c r="AJ16" s="199">
        <f>AI16/AC16-1</f>
        <v>0.0064102564102563875</v>
      </c>
      <c r="AK16" s="201">
        <v>6.6</v>
      </c>
      <c r="AL16" s="298">
        <v>7.7</v>
      </c>
      <c r="AM16" s="298">
        <v>8.6</v>
      </c>
      <c r="AN16" s="298">
        <f>AO16-AK16-AL16-AM16</f>
        <v>7.999999999999998</v>
      </c>
      <c r="AO16" s="298">
        <v>30.9</v>
      </c>
      <c r="AP16" s="438">
        <f t="shared" si="4"/>
        <v>-0.015923566878980888</v>
      </c>
      <c r="AQ16" s="298">
        <v>6.6</v>
      </c>
      <c r="AR16" s="298">
        <v>9</v>
      </c>
      <c r="AS16" s="298">
        <v>9.6</v>
      </c>
      <c r="AT16" s="298">
        <v>9.1</v>
      </c>
      <c r="AU16" s="298">
        <v>34.3</v>
      </c>
      <c r="AV16" s="438">
        <f t="shared" si="5"/>
        <v>0.11003236245954695</v>
      </c>
      <c r="AW16" s="298">
        <v>7.5</v>
      </c>
      <c r="AX16" s="298">
        <v>9</v>
      </c>
      <c r="AY16" s="455">
        <v>7.7</v>
      </c>
      <c r="AZ16" s="573">
        <f t="shared" si="6"/>
        <v>-0.19791666666666663</v>
      </c>
    </row>
    <row r="17" spans="35:53" ht="12.75" customHeight="1">
      <c r="AI17" s="211"/>
      <c r="BA17" s="560"/>
    </row>
    <row r="18" spans="1:52" ht="12" customHeight="1">
      <c r="A18" s="625" t="s">
        <v>291</v>
      </c>
      <c r="AW18" s="560"/>
      <c r="AX18" s="560"/>
      <c r="AY18" s="560"/>
      <c r="AZ18" s="560"/>
    </row>
    <row r="19" ht="12" customHeight="1">
      <c r="A19" s="625" t="s">
        <v>292</v>
      </c>
    </row>
    <row r="20" ht="12" customHeight="1">
      <c r="A20" s="626" t="s">
        <v>293</v>
      </c>
    </row>
    <row r="21" ht="12.75" customHeight="1">
      <c r="A21" s="627" t="s">
        <v>294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5" r:id="rId1"/>
</worksheet>
</file>

<file path=xl/worksheets/sheet12.xml><?xml version="1.0" encoding="utf-8"?>
<worksheet xmlns="http://schemas.openxmlformats.org/spreadsheetml/2006/main" xmlns:r="http://schemas.openxmlformats.org/officeDocument/2006/relationships">
  <dimension ref="A1:BR25"/>
  <sheetViews>
    <sheetView showGridLines="0" workbookViewId="0" topLeftCell="A1">
      <pane xSplit="1" topLeftCell="BJ1" activePane="topRight" state="frozen"/>
      <selection pane="topLeft" activeCell="A1" sqref="A1"/>
      <selection pane="topRight" activeCell="BH38" sqref="BH38"/>
    </sheetView>
  </sheetViews>
  <sheetFormatPr defaultColWidth="9.421875" defaultRowHeight="12.75"/>
  <cols>
    <col min="1" max="1" width="30.57421875" style="631" customWidth="1"/>
    <col min="2" max="39" width="7.421875" style="219" customWidth="1"/>
    <col min="40" max="44" width="7.57421875" style="219" customWidth="1"/>
    <col min="45" max="45" width="8.421875" style="219" customWidth="1"/>
    <col min="46" max="16384" width="9.421875" style="219" customWidth="1"/>
  </cols>
  <sheetData>
    <row r="1" spans="1:70" s="212" customFormat="1" ht="75">
      <c r="A1" s="610" t="s">
        <v>303</v>
      </c>
      <c r="B1" s="633">
        <v>43101</v>
      </c>
      <c r="C1" s="633">
        <v>43132</v>
      </c>
      <c r="D1" s="633">
        <v>43160</v>
      </c>
      <c r="E1" s="633">
        <v>43191</v>
      </c>
      <c r="F1" s="633">
        <v>43221</v>
      </c>
      <c r="G1" s="633">
        <v>43252</v>
      </c>
      <c r="H1" s="633">
        <v>43282</v>
      </c>
      <c r="I1" s="633">
        <v>43313</v>
      </c>
      <c r="J1" s="633">
        <v>43344</v>
      </c>
      <c r="K1" s="633">
        <v>43374</v>
      </c>
      <c r="L1" s="633">
        <v>43405</v>
      </c>
      <c r="M1" s="633">
        <v>43435</v>
      </c>
      <c r="N1" s="633">
        <v>43466</v>
      </c>
      <c r="O1" s="633">
        <v>43497</v>
      </c>
      <c r="P1" s="633">
        <v>43525</v>
      </c>
      <c r="Q1" s="633">
        <v>43556</v>
      </c>
      <c r="R1" s="633">
        <v>43586</v>
      </c>
      <c r="S1" s="633">
        <v>43617</v>
      </c>
      <c r="T1" s="633">
        <v>43647</v>
      </c>
      <c r="U1" s="633">
        <v>43678</v>
      </c>
      <c r="V1" s="633">
        <v>43709</v>
      </c>
      <c r="W1" s="633">
        <v>43740</v>
      </c>
      <c r="X1" s="633" t="s">
        <v>310</v>
      </c>
      <c r="Y1" s="633" t="s">
        <v>311</v>
      </c>
      <c r="Z1" s="633" t="s">
        <v>312</v>
      </c>
      <c r="AA1" s="633">
        <v>43862</v>
      </c>
      <c r="AB1" s="633">
        <v>43891</v>
      </c>
      <c r="AC1" s="634" t="s">
        <v>313</v>
      </c>
      <c r="AD1" s="634" t="s">
        <v>314</v>
      </c>
      <c r="AE1" s="634" t="s">
        <v>315</v>
      </c>
      <c r="AF1" s="634" t="s">
        <v>316</v>
      </c>
      <c r="AG1" s="634" t="s">
        <v>317</v>
      </c>
      <c r="AH1" s="634" t="s">
        <v>318</v>
      </c>
      <c r="AI1" s="633" t="s">
        <v>319</v>
      </c>
      <c r="AJ1" s="633" t="s">
        <v>320</v>
      </c>
      <c r="AK1" s="633" t="s">
        <v>321</v>
      </c>
      <c r="AL1" s="633" t="s">
        <v>322</v>
      </c>
      <c r="AM1" s="633" t="s">
        <v>323</v>
      </c>
      <c r="AN1" s="633">
        <v>44256</v>
      </c>
      <c r="AO1" s="634" t="s">
        <v>324</v>
      </c>
      <c r="AP1" s="634" t="s">
        <v>325</v>
      </c>
      <c r="AQ1" s="634" t="s">
        <v>326</v>
      </c>
      <c r="AR1" s="634" t="s">
        <v>327</v>
      </c>
      <c r="AS1" s="634" t="s">
        <v>328</v>
      </c>
      <c r="AT1" s="634" t="s">
        <v>329</v>
      </c>
      <c r="AU1" s="634" t="s">
        <v>330</v>
      </c>
      <c r="AV1" s="634" t="s">
        <v>331</v>
      </c>
      <c r="AW1" s="634" t="s">
        <v>332</v>
      </c>
      <c r="AX1" s="634" t="s">
        <v>333</v>
      </c>
      <c r="AY1" s="634" t="s">
        <v>334</v>
      </c>
      <c r="AZ1" s="633">
        <v>44621</v>
      </c>
      <c r="BA1" s="634" t="s">
        <v>335</v>
      </c>
      <c r="BB1" s="634" t="s">
        <v>336</v>
      </c>
      <c r="BC1" s="634" t="s">
        <v>337</v>
      </c>
      <c r="BD1" s="634" t="s">
        <v>338</v>
      </c>
      <c r="BE1" s="634" t="s">
        <v>339</v>
      </c>
      <c r="BF1" s="634" t="s">
        <v>340</v>
      </c>
      <c r="BG1" s="634" t="s">
        <v>341</v>
      </c>
      <c r="BH1" s="634" t="s">
        <v>342</v>
      </c>
      <c r="BI1" s="634" t="s">
        <v>343</v>
      </c>
      <c r="BJ1" s="634" t="s">
        <v>344</v>
      </c>
      <c r="BK1" s="634" t="s">
        <v>345</v>
      </c>
      <c r="BL1" s="633">
        <v>44986</v>
      </c>
      <c r="BM1" s="633" t="s">
        <v>346</v>
      </c>
      <c r="BN1" s="634" t="s">
        <v>347</v>
      </c>
      <c r="BO1" s="634" t="s">
        <v>348</v>
      </c>
      <c r="BP1" s="262" t="s">
        <v>349</v>
      </c>
      <c r="BQ1" s="262" t="s">
        <v>350</v>
      </c>
      <c r="BR1" s="262" t="s">
        <v>351</v>
      </c>
    </row>
    <row r="2" spans="1:22" s="216" customFormat="1" ht="16.5" customHeight="1">
      <c r="A2" s="628" t="s">
        <v>304</v>
      </c>
      <c r="B2" s="214"/>
      <c r="C2" s="214"/>
      <c r="D2" s="214"/>
      <c r="E2" s="215"/>
      <c r="F2" s="215"/>
      <c r="G2" s="215"/>
      <c r="H2" s="215"/>
      <c r="I2" s="215"/>
      <c r="J2" s="215"/>
      <c r="K2" s="215"/>
      <c r="L2" s="215"/>
      <c r="M2" s="215"/>
      <c r="N2" s="215"/>
      <c r="O2" s="215"/>
      <c r="P2" s="215"/>
      <c r="Q2" s="215"/>
      <c r="R2" s="215"/>
      <c r="S2" s="215"/>
      <c r="T2" s="215"/>
      <c r="U2" s="215"/>
      <c r="V2" s="215"/>
    </row>
    <row r="3" spans="1:70" ht="12.75">
      <c r="A3" s="629" t="s">
        <v>137</v>
      </c>
      <c r="B3" s="217">
        <v>48.7</v>
      </c>
      <c r="C3" s="217">
        <v>45.5</v>
      </c>
      <c r="D3" s="217">
        <v>48.9</v>
      </c>
      <c r="E3" s="217">
        <v>47.7</v>
      </c>
      <c r="F3" s="217">
        <v>53.5</v>
      </c>
      <c r="G3" s="217">
        <v>50.6</v>
      </c>
      <c r="H3" s="217">
        <v>55.9</v>
      </c>
      <c r="I3" s="217">
        <v>57.3</v>
      </c>
      <c r="J3" s="217">
        <v>57.4</v>
      </c>
      <c r="K3" s="217">
        <v>56.7</v>
      </c>
      <c r="L3" s="217">
        <v>54.2</v>
      </c>
      <c r="M3" s="217">
        <v>57.7</v>
      </c>
      <c r="N3" s="217">
        <v>58.7</v>
      </c>
      <c r="O3" s="217">
        <v>53.8</v>
      </c>
      <c r="P3" s="217">
        <v>60.3</v>
      </c>
      <c r="Q3" s="218">
        <v>58.6</v>
      </c>
      <c r="R3" s="218">
        <v>61.9</v>
      </c>
      <c r="S3" s="218">
        <v>58.7</v>
      </c>
      <c r="T3" s="218">
        <v>59.8</v>
      </c>
      <c r="U3" s="218">
        <v>59.2</v>
      </c>
      <c r="V3" s="218">
        <v>58.6</v>
      </c>
      <c r="W3" s="218">
        <v>56.3</v>
      </c>
      <c r="X3" s="218">
        <v>56.4</v>
      </c>
      <c r="Y3" s="218">
        <v>59.3</v>
      </c>
      <c r="Z3" s="218">
        <v>58.4</v>
      </c>
      <c r="AA3" s="218">
        <v>55.3</v>
      </c>
      <c r="AB3" s="218">
        <v>60.4</v>
      </c>
      <c r="AC3" s="218">
        <v>56.5</v>
      </c>
      <c r="AD3" s="198">
        <v>60</v>
      </c>
      <c r="AE3" s="218">
        <v>60.1</v>
      </c>
      <c r="AF3" s="218">
        <v>57.5</v>
      </c>
      <c r="AG3" s="198">
        <v>57.9</v>
      </c>
      <c r="AH3" s="218">
        <v>54.9</v>
      </c>
      <c r="AI3" s="217">
        <v>61.1</v>
      </c>
      <c r="AJ3" s="217">
        <v>62.4</v>
      </c>
      <c r="AK3" s="217">
        <v>64.5</v>
      </c>
      <c r="AL3" s="217">
        <v>61.7</v>
      </c>
      <c r="AM3" s="220">
        <v>58</v>
      </c>
      <c r="AN3" s="220">
        <v>65.8</v>
      </c>
      <c r="AO3" s="220">
        <v>64.7</v>
      </c>
      <c r="AP3" s="220">
        <v>65.3</v>
      </c>
      <c r="AQ3" s="220">
        <v>65</v>
      </c>
      <c r="AR3" s="220">
        <v>64.9</v>
      </c>
      <c r="AS3" s="220">
        <v>64.6</v>
      </c>
      <c r="AT3" s="220">
        <v>63.7</v>
      </c>
      <c r="AU3" s="220">
        <v>61.7</v>
      </c>
      <c r="AV3" s="220">
        <v>60.5</v>
      </c>
      <c r="AW3" s="220">
        <v>57.6</v>
      </c>
      <c r="AX3" s="220">
        <v>67.4</v>
      </c>
      <c r="AY3" s="220">
        <v>62</v>
      </c>
      <c r="AZ3" s="220">
        <v>63.9</v>
      </c>
      <c r="BA3" s="220">
        <v>62</v>
      </c>
      <c r="BB3" s="220">
        <v>64.3</v>
      </c>
      <c r="BC3" s="220">
        <v>58.1</v>
      </c>
      <c r="BD3" s="220">
        <v>60</v>
      </c>
      <c r="BE3" s="220">
        <v>60.3</v>
      </c>
      <c r="BF3" s="220">
        <v>59.5</v>
      </c>
      <c r="BG3" s="220">
        <v>60.7</v>
      </c>
      <c r="BH3" s="220">
        <v>59.1</v>
      </c>
      <c r="BI3" s="220">
        <v>55.7</v>
      </c>
      <c r="BJ3" s="220">
        <v>59.3</v>
      </c>
      <c r="BK3" s="220">
        <v>53.7</v>
      </c>
      <c r="BL3" s="220">
        <v>62.7</v>
      </c>
      <c r="BM3" s="220">
        <v>57</v>
      </c>
      <c r="BN3" s="220">
        <v>59.7</v>
      </c>
      <c r="BO3" s="220">
        <v>59</v>
      </c>
      <c r="BP3" s="220">
        <v>57.6</v>
      </c>
      <c r="BQ3" s="220">
        <v>58.9</v>
      </c>
      <c r="BR3" s="220">
        <v>59.4</v>
      </c>
    </row>
    <row r="4" spans="1:70" ht="12.75">
      <c r="A4" s="629" t="s">
        <v>305</v>
      </c>
      <c r="B4" s="217">
        <v>85.9</v>
      </c>
      <c r="C4" s="217">
        <v>71.5</v>
      </c>
      <c r="D4" s="217">
        <v>85.3</v>
      </c>
      <c r="E4" s="217">
        <v>87.8</v>
      </c>
      <c r="F4" s="217">
        <v>101.5</v>
      </c>
      <c r="G4" s="217">
        <v>52.8</v>
      </c>
      <c r="H4" s="217">
        <v>109.3</v>
      </c>
      <c r="I4" s="217">
        <v>128.6</v>
      </c>
      <c r="J4" s="217">
        <v>124</v>
      </c>
      <c r="K4" s="217">
        <v>120.8</v>
      </c>
      <c r="L4" s="217">
        <v>113.7</v>
      </c>
      <c r="M4" s="217">
        <v>122.1</v>
      </c>
      <c r="N4" s="220">
        <v>76</v>
      </c>
      <c r="O4" s="217">
        <v>119.9</v>
      </c>
      <c r="P4" s="217">
        <v>128.7</v>
      </c>
      <c r="Q4" s="218">
        <v>127.9</v>
      </c>
      <c r="R4" s="218">
        <v>133.5</v>
      </c>
      <c r="S4" s="218">
        <v>125.6</v>
      </c>
      <c r="T4" s="218">
        <v>74.7</v>
      </c>
      <c r="U4" s="218">
        <v>122.1</v>
      </c>
      <c r="V4" s="218">
        <v>120.4</v>
      </c>
      <c r="W4" s="218">
        <v>124.7</v>
      </c>
      <c r="X4" s="218">
        <v>131.9</v>
      </c>
      <c r="Y4" s="218">
        <v>129.3</v>
      </c>
      <c r="Z4" s="198">
        <v>83</v>
      </c>
      <c r="AA4" s="218">
        <v>125.2</v>
      </c>
      <c r="AB4" s="218">
        <v>126.7</v>
      </c>
      <c r="AC4" s="218">
        <v>125.2</v>
      </c>
      <c r="AD4" s="218">
        <v>127.6</v>
      </c>
      <c r="AE4" s="218">
        <v>119.9</v>
      </c>
      <c r="AF4" s="218">
        <v>108.7</v>
      </c>
      <c r="AG4" s="218">
        <v>58.6</v>
      </c>
      <c r="AH4" s="218">
        <v>121</v>
      </c>
      <c r="AI4" s="217">
        <v>125.4</v>
      </c>
      <c r="AJ4" s="217">
        <v>104.4</v>
      </c>
      <c r="AK4" s="217">
        <v>125.8</v>
      </c>
      <c r="AL4" s="217">
        <v>117.8</v>
      </c>
      <c r="AM4" s="217">
        <v>99.4</v>
      </c>
      <c r="AN4" s="217">
        <v>89.6</v>
      </c>
      <c r="AO4" s="217">
        <v>121.7</v>
      </c>
      <c r="AP4" s="217">
        <v>129.9</v>
      </c>
      <c r="AQ4" s="217">
        <v>117.6</v>
      </c>
      <c r="AR4" s="217">
        <v>115.7</v>
      </c>
      <c r="AS4" s="217">
        <v>109.5</v>
      </c>
      <c r="AT4" s="217">
        <v>106.3</v>
      </c>
      <c r="AU4" s="217">
        <v>95.7</v>
      </c>
      <c r="AV4" s="217">
        <v>131.8</v>
      </c>
      <c r="AW4" s="220">
        <v>131</v>
      </c>
      <c r="AX4" s="217">
        <v>122.3</v>
      </c>
      <c r="AY4" s="217">
        <v>106.8</v>
      </c>
      <c r="AZ4" s="217">
        <v>118.6</v>
      </c>
      <c r="BA4" s="220">
        <v>86</v>
      </c>
      <c r="BB4" s="217">
        <v>126.3</v>
      </c>
      <c r="BC4" s="217">
        <v>123.4</v>
      </c>
      <c r="BD4" s="217">
        <v>119.9</v>
      </c>
      <c r="BE4" s="217">
        <v>113.9</v>
      </c>
      <c r="BF4" s="220">
        <v>105</v>
      </c>
      <c r="BG4" s="220">
        <v>117.8</v>
      </c>
      <c r="BH4" s="220">
        <v>67.4</v>
      </c>
      <c r="BI4" s="220">
        <v>120</v>
      </c>
      <c r="BJ4" s="220">
        <v>128</v>
      </c>
      <c r="BK4" s="220">
        <v>122.3</v>
      </c>
      <c r="BL4" s="220">
        <v>130.7</v>
      </c>
      <c r="BM4" s="220">
        <v>126.5</v>
      </c>
      <c r="BN4" s="220">
        <v>123.8</v>
      </c>
      <c r="BO4" s="220">
        <v>80.5</v>
      </c>
      <c r="BP4" s="220">
        <v>129.9</v>
      </c>
      <c r="BQ4" s="220">
        <v>130.8</v>
      </c>
      <c r="BR4" s="220">
        <v>126.5</v>
      </c>
    </row>
    <row r="5" spans="1:70" ht="12.75">
      <c r="A5" s="629" t="s">
        <v>140</v>
      </c>
      <c r="B5" s="217">
        <v>13.4</v>
      </c>
      <c r="C5" s="217">
        <v>13.1</v>
      </c>
      <c r="D5" s="217">
        <v>12.1</v>
      </c>
      <c r="E5" s="217">
        <v>15.2</v>
      </c>
      <c r="F5" s="217">
        <v>15.8</v>
      </c>
      <c r="G5" s="217">
        <v>12.5</v>
      </c>
      <c r="H5" s="217">
        <v>14.2</v>
      </c>
      <c r="I5" s="217">
        <v>16.7</v>
      </c>
      <c r="J5" s="217">
        <v>15.8</v>
      </c>
      <c r="K5" s="217">
        <v>15.8</v>
      </c>
      <c r="L5" s="217">
        <v>15.1</v>
      </c>
      <c r="M5" s="220">
        <v>14</v>
      </c>
      <c r="N5" s="217">
        <v>12.2</v>
      </c>
      <c r="O5" s="217">
        <v>15.5</v>
      </c>
      <c r="P5" s="217">
        <v>17.4</v>
      </c>
      <c r="Q5" s="218">
        <v>19.9</v>
      </c>
      <c r="R5" s="218">
        <v>19.7</v>
      </c>
      <c r="S5" s="218">
        <v>19.4</v>
      </c>
      <c r="T5" s="218">
        <v>16.6</v>
      </c>
      <c r="U5" s="218">
        <v>17.9</v>
      </c>
      <c r="V5" s="218">
        <v>18.6</v>
      </c>
      <c r="W5" s="218">
        <v>18.7</v>
      </c>
      <c r="X5" s="218">
        <v>21.3</v>
      </c>
      <c r="Y5" s="198">
        <v>23</v>
      </c>
      <c r="Z5" s="218">
        <v>15.6</v>
      </c>
      <c r="AA5" s="218">
        <v>15.8</v>
      </c>
      <c r="AB5" s="218">
        <v>20.2</v>
      </c>
      <c r="AC5" s="198">
        <v>17</v>
      </c>
      <c r="AD5" s="218">
        <v>16.1</v>
      </c>
      <c r="AE5" s="218">
        <v>15.4</v>
      </c>
      <c r="AF5" s="198">
        <v>15.1</v>
      </c>
      <c r="AG5" s="218">
        <v>13.8</v>
      </c>
      <c r="AH5" s="218">
        <v>16.2</v>
      </c>
      <c r="AI5" s="217">
        <v>16.6</v>
      </c>
      <c r="AJ5" s="220">
        <v>18</v>
      </c>
      <c r="AK5" s="217">
        <v>14.4</v>
      </c>
      <c r="AL5" s="217">
        <v>10.8</v>
      </c>
      <c r="AM5" s="217">
        <v>11.8</v>
      </c>
      <c r="AN5" s="220">
        <v>13</v>
      </c>
      <c r="AO5" s="220">
        <v>14.7</v>
      </c>
      <c r="AP5" s="220">
        <v>12.9</v>
      </c>
      <c r="AQ5" s="220">
        <v>15.6</v>
      </c>
      <c r="AR5" s="220">
        <v>13.3</v>
      </c>
      <c r="AS5" s="220">
        <v>14.5</v>
      </c>
      <c r="AT5" s="220">
        <v>17.8</v>
      </c>
      <c r="AU5" s="220">
        <v>11</v>
      </c>
      <c r="AV5" s="220">
        <v>13.1</v>
      </c>
      <c r="AW5" s="220">
        <v>15</v>
      </c>
      <c r="AX5" s="220">
        <v>15.2</v>
      </c>
      <c r="AY5" s="220">
        <v>13</v>
      </c>
      <c r="AZ5" s="220">
        <v>14.6</v>
      </c>
      <c r="BA5" s="220">
        <v>15.8</v>
      </c>
      <c r="BB5" s="220">
        <v>17.3</v>
      </c>
      <c r="BC5" s="220">
        <v>15.3</v>
      </c>
      <c r="BD5" s="220">
        <v>11.7</v>
      </c>
      <c r="BE5" s="220">
        <v>13.5</v>
      </c>
      <c r="BF5" s="220">
        <v>15.9</v>
      </c>
      <c r="BG5" s="220">
        <v>18.1</v>
      </c>
      <c r="BH5" s="220">
        <v>13.6</v>
      </c>
      <c r="BI5" s="220">
        <v>13.7</v>
      </c>
      <c r="BJ5" s="220">
        <v>17.4</v>
      </c>
      <c r="BK5" s="220">
        <v>14.1</v>
      </c>
      <c r="BL5" s="220">
        <v>15.9</v>
      </c>
      <c r="BM5" s="220">
        <v>14.7</v>
      </c>
      <c r="BN5" s="220">
        <v>16.5</v>
      </c>
      <c r="BO5" s="220">
        <v>14</v>
      </c>
      <c r="BP5" s="220">
        <v>12.2</v>
      </c>
      <c r="BQ5" s="220">
        <v>13.6</v>
      </c>
      <c r="BR5" s="220">
        <v>15.1</v>
      </c>
    </row>
    <row r="6" spans="1:70" ht="12.75">
      <c r="A6" s="629" t="s">
        <v>289</v>
      </c>
      <c r="B6" s="217">
        <v>1.1</v>
      </c>
      <c r="C6" s="217">
        <v>1.4</v>
      </c>
      <c r="D6" s="217">
        <v>1.5</v>
      </c>
      <c r="E6" s="217">
        <v>1</v>
      </c>
      <c r="F6" s="217">
        <v>1.6</v>
      </c>
      <c r="G6" s="217">
        <v>1.3</v>
      </c>
      <c r="H6" s="217">
        <v>1.5</v>
      </c>
      <c r="I6" s="217">
        <v>1.1</v>
      </c>
      <c r="J6" s="217">
        <v>0.8</v>
      </c>
      <c r="K6" s="217">
        <v>1.5</v>
      </c>
      <c r="L6" s="217">
        <v>1.4</v>
      </c>
      <c r="M6" s="217">
        <v>1.3</v>
      </c>
      <c r="N6" s="220">
        <v>1</v>
      </c>
      <c r="O6" s="217">
        <v>1.2</v>
      </c>
      <c r="P6" s="217">
        <v>1.1</v>
      </c>
      <c r="Q6" s="218">
        <v>0.4</v>
      </c>
      <c r="R6" s="218">
        <v>1.3</v>
      </c>
      <c r="S6" s="218">
        <v>1.2</v>
      </c>
      <c r="T6" s="218">
        <v>0.55</v>
      </c>
      <c r="U6" s="198">
        <v>1.42</v>
      </c>
      <c r="V6" s="218">
        <v>0.7</v>
      </c>
      <c r="W6" s="218">
        <v>0.7</v>
      </c>
      <c r="X6" s="218">
        <v>1.1</v>
      </c>
      <c r="Y6" s="218">
        <v>1.3</v>
      </c>
      <c r="Z6" s="218">
        <v>0.8</v>
      </c>
      <c r="AA6" s="218">
        <v>0.8</v>
      </c>
      <c r="AB6" s="218">
        <v>0.2</v>
      </c>
      <c r="AC6" s="218">
        <v>0.7</v>
      </c>
      <c r="AD6" s="218">
        <v>1.7</v>
      </c>
      <c r="AE6" s="218">
        <v>1.2</v>
      </c>
      <c r="AF6" s="218">
        <v>0.8</v>
      </c>
      <c r="AG6" s="218">
        <v>0.6</v>
      </c>
      <c r="AH6" s="218">
        <v>0.5</v>
      </c>
      <c r="AI6" s="217">
        <v>0.6</v>
      </c>
      <c r="AJ6" s="217">
        <v>0.6</v>
      </c>
      <c r="AK6" s="217">
        <v>0.9</v>
      </c>
      <c r="AL6" s="217">
        <v>0.6</v>
      </c>
      <c r="AM6" s="217">
        <v>0.4</v>
      </c>
      <c r="AN6" s="217">
        <v>0.9</v>
      </c>
      <c r="AO6" s="217">
        <v>0.9</v>
      </c>
      <c r="AP6" s="217">
        <v>0.9</v>
      </c>
      <c r="AQ6" s="217">
        <v>0.8</v>
      </c>
      <c r="AR6" s="217">
        <v>0.3</v>
      </c>
      <c r="AS6" s="220">
        <v>1</v>
      </c>
      <c r="AT6" s="217">
        <v>1.2</v>
      </c>
      <c r="AU6" s="220">
        <v>0.3</v>
      </c>
      <c r="AV6" s="217">
        <v>0.5</v>
      </c>
      <c r="AW6" s="220">
        <v>0.4</v>
      </c>
      <c r="AX6" s="217">
        <v>0.3</v>
      </c>
      <c r="AY6" s="220">
        <v>0.5</v>
      </c>
      <c r="AZ6" s="220">
        <v>0.4</v>
      </c>
      <c r="BA6" s="220">
        <v>0.1</v>
      </c>
      <c r="BB6" s="220">
        <v>0.4</v>
      </c>
      <c r="BC6" s="220">
        <v>0.3</v>
      </c>
      <c r="BD6" s="220">
        <v>0.2</v>
      </c>
      <c r="BE6" s="220">
        <v>0.2</v>
      </c>
      <c r="BF6" s="220">
        <v>0.1</v>
      </c>
      <c r="BG6" s="220">
        <v>0.2</v>
      </c>
      <c r="BH6" s="220">
        <v>0.1</v>
      </c>
      <c r="BI6" s="220">
        <v>0.2</v>
      </c>
      <c r="BJ6" s="220">
        <v>0.1</v>
      </c>
      <c r="BK6" s="220">
        <v>0.2</v>
      </c>
      <c r="BL6" s="220">
        <v>0.7</v>
      </c>
      <c r="BM6" s="220">
        <v>0.4</v>
      </c>
      <c r="BN6" s="220">
        <v>0.5</v>
      </c>
      <c r="BO6" s="220">
        <v>0.3</v>
      </c>
      <c r="BP6" s="220">
        <v>0.3</v>
      </c>
      <c r="BQ6" s="220">
        <v>0.3</v>
      </c>
      <c r="BR6" s="220">
        <v>0.4</v>
      </c>
    </row>
    <row r="7" spans="1:70" s="216" customFormat="1" ht="16.5" customHeight="1">
      <c r="A7" s="628" t="s">
        <v>22</v>
      </c>
      <c r="B7" s="221"/>
      <c r="C7" s="221"/>
      <c r="D7" s="221"/>
      <c r="E7" s="222"/>
      <c r="F7" s="222"/>
      <c r="G7" s="222"/>
      <c r="H7" s="222"/>
      <c r="I7" s="222"/>
      <c r="J7" s="222"/>
      <c r="K7" s="222"/>
      <c r="L7" s="222"/>
      <c r="M7" s="222"/>
      <c r="N7" s="222"/>
      <c r="O7" s="222"/>
      <c r="P7" s="222"/>
      <c r="Q7" s="223"/>
      <c r="R7" s="223"/>
      <c r="S7" s="223"/>
      <c r="T7" s="223"/>
      <c r="U7" s="223"/>
      <c r="V7" s="223"/>
      <c r="W7" s="223"/>
      <c r="X7" s="223"/>
      <c r="Y7" s="223"/>
      <c r="Z7" s="223"/>
      <c r="AA7" s="223"/>
      <c r="AB7" s="223"/>
      <c r="AC7" s="223"/>
      <c r="AD7" s="223"/>
      <c r="AE7" s="223"/>
      <c r="AF7" s="224"/>
      <c r="AG7" s="224"/>
      <c r="AH7" s="224"/>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row>
    <row r="8" spans="1:70" ht="12.75">
      <c r="A8" s="629" t="s">
        <v>306</v>
      </c>
      <c r="B8" s="217">
        <v>33.8</v>
      </c>
      <c r="C8" s="217">
        <v>32.8</v>
      </c>
      <c r="D8" s="217">
        <v>36.1</v>
      </c>
      <c r="E8" s="217">
        <v>33</v>
      </c>
      <c r="F8" s="217">
        <v>35.2</v>
      </c>
      <c r="G8" s="217">
        <v>34</v>
      </c>
      <c r="H8" s="217">
        <v>33.8</v>
      </c>
      <c r="I8" s="217">
        <v>33.9</v>
      </c>
      <c r="J8" s="217">
        <v>33.3</v>
      </c>
      <c r="K8" s="217">
        <v>36.2</v>
      </c>
      <c r="L8" s="217">
        <v>32.8</v>
      </c>
      <c r="M8" s="217">
        <v>26.3</v>
      </c>
      <c r="N8" s="217">
        <v>33.9</v>
      </c>
      <c r="O8" s="220">
        <v>31</v>
      </c>
      <c r="P8" s="217">
        <v>34.2</v>
      </c>
      <c r="Q8" s="218">
        <v>33.8</v>
      </c>
      <c r="R8" s="198">
        <v>35</v>
      </c>
      <c r="S8" s="218">
        <v>32.3</v>
      </c>
      <c r="T8" s="218">
        <v>35.3</v>
      </c>
      <c r="U8" s="218">
        <v>35.2</v>
      </c>
      <c r="V8" s="218">
        <v>34.3</v>
      </c>
      <c r="W8" s="218">
        <v>36.5</v>
      </c>
      <c r="X8" s="218">
        <v>30.8</v>
      </c>
      <c r="Y8" s="218">
        <v>26.8</v>
      </c>
      <c r="Z8" s="218">
        <v>31.9</v>
      </c>
      <c r="AA8" s="218">
        <v>32.9</v>
      </c>
      <c r="AB8" s="218">
        <v>34.3</v>
      </c>
      <c r="AC8" s="218">
        <v>31.8</v>
      </c>
      <c r="AD8" s="218">
        <v>33.8</v>
      </c>
      <c r="AE8" s="198">
        <v>34</v>
      </c>
      <c r="AF8" s="218">
        <v>33.3</v>
      </c>
      <c r="AG8" s="198">
        <v>31.2</v>
      </c>
      <c r="AH8" s="218">
        <v>33.5</v>
      </c>
      <c r="AI8" s="217">
        <v>34.7</v>
      </c>
      <c r="AJ8" s="217">
        <v>33.1</v>
      </c>
      <c r="AK8" s="217">
        <v>28.1</v>
      </c>
      <c r="AL8" s="217">
        <v>31.2</v>
      </c>
      <c r="AM8" s="220">
        <v>31</v>
      </c>
      <c r="AN8" s="220">
        <v>34.7</v>
      </c>
      <c r="AO8" s="220">
        <v>32</v>
      </c>
      <c r="AP8" s="220">
        <v>33.2</v>
      </c>
      <c r="AQ8" s="220">
        <v>33</v>
      </c>
      <c r="AR8" s="220">
        <v>33.9</v>
      </c>
      <c r="AS8" s="220">
        <v>33.4</v>
      </c>
      <c r="AT8" s="220">
        <v>33.6</v>
      </c>
      <c r="AU8" s="217">
        <v>34.2</v>
      </c>
      <c r="AV8" s="220">
        <v>32</v>
      </c>
      <c r="AW8" s="217">
        <v>29.1</v>
      </c>
      <c r="AX8" s="217">
        <v>33.1</v>
      </c>
      <c r="AY8" s="217">
        <v>31.5</v>
      </c>
      <c r="AZ8" s="217">
        <v>35.4</v>
      </c>
      <c r="BA8" s="217">
        <v>31.3</v>
      </c>
      <c r="BB8" s="217">
        <v>34.5</v>
      </c>
      <c r="BC8" s="217">
        <v>33.1</v>
      </c>
      <c r="BD8" s="217">
        <v>32.3</v>
      </c>
      <c r="BE8" s="217">
        <v>32.6</v>
      </c>
      <c r="BF8" s="217">
        <v>31.6</v>
      </c>
      <c r="BG8" s="217">
        <v>33.7</v>
      </c>
      <c r="BH8" s="217">
        <v>32.1</v>
      </c>
      <c r="BI8" s="217">
        <v>31.4</v>
      </c>
      <c r="BJ8" s="217">
        <v>33.5</v>
      </c>
      <c r="BK8" s="217">
        <v>31.5</v>
      </c>
      <c r="BL8" s="217">
        <v>35.4</v>
      </c>
      <c r="BM8" s="217">
        <v>32.7</v>
      </c>
      <c r="BN8" s="220">
        <v>35</v>
      </c>
      <c r="BO8" s="217">
        <v>34.1</v>
      </c>
      <c r="BP8" s="217">
        <v>33.6</v>
      </c>
      <c r="BQ8" s="217">
        <v>34.2</v>
      </c>
      <c r="BR8" s="217">
        <v>33.2</v>
      </c>
    </row>
    <row r="9" spans="1:70" ht="12.75">
      <c r="A9" s="629" t="s">
        <v>307</v>
      </c>
      <c r="B9" s="217">
        <v>105.4</v>
      </c>
      <c r="C9" s="217">
        <v>103.1</v>
      </c>
      <c r="D9" s="217">
        <v>113.3</v>
      </c>
      <c r="E9" s="217">
        <v>101.7</v>
      </c>
      <c r="F9" s="217">
        <v>109</v>
      </c>
      <c r="G9" s="217">
        <v>106.9</v>
      </c>
      <c r="H9" s="217">
        <v>106.8</v>
      </c>
      <c r="I9" s="217">
        <v>108.7</v>
      </c>
      <c r="J9" s="217">
        <v>105.2</v>
      </c>
      <c r="K9" s="217">
        <v>112.5</v>
      </c>
      <c r="L9" s="217">
        <v>104.8</v>
      </c>
      <c r="M9" s="217">
        <v>86.7</v>
      </c>
      <c r="N9" s="220">
        <v>110</v>
      </c>
      <c r="O9" s="217">
        <v>95.2</v>
      </c>
      <c r="P9" s="217">
        <v>106.3</v>
      </c>
      <c r="Q9" s="218">
        <v>105.8</v>
      </c>
      <c r="R9" s="218">
        <v>110.7</v>
      </c>
      <c r="S9" s="218">
        <v>105.1</v>
      </c>
      <c r="T9" s="218">
        <v>108.3</v>
      </c>
      <c r="U9" s="218">
        <v>106.8</v>
      </c>
      <c r="V9" s="198">
        <v>104</v>
      </c>
      <c r="W9" s="218">
        <v>114.5</v>
      </c>
      <c r="X9" s="218">
        <v>97.4</v>
      </c>
      <c r="Y9" s="198">
        <v>85</v>
      </c>
      <c r="Z9" s="218">
        <v>101.5</v>
      </c>
      <c r="AA9" s="218">
        <v>103.7</v>
      </c>
      <c r="AB9" s="218">
        <v>106.8</v>
      </c>
      <c r="AC9" s="218">
        <v>98.5</v>
      </c>
      <c r="AD9" s="218">
        <v>102.5</v>
      </c>
      <c r="AE9" s="198">
        <v>104</v>
      </c>
      <c r="AF9" s="218">
        <v>100.7</v>
      </c>
      <c r="AG9" s="218">
        <v>94.7</v>
      </c>
      <c r="AH9" s="218">
        <v>104.6</v>
      </c>
      <c r="AI9" s="217">
        <v>109.8</v>
      </c>
      <c r="AJ9" s="217">
        <v>103.4</v>
      </c>
      <c r="AK9" s="217">
        <v>88.2</v>
      </c>
      <c r="AL9" s="217">
        <v>99.4</v>
      </c>
      <c r="AM9" s="220">
        <v>100</v>
      </c>
      <c r="AN9" s="220">
        <v>113.5</v>
      </c>
      <c r="AO9" s="220">
        <v>107.1</v>
      </c>
      <c r="AP9" s="220">
        <v>111</v>
      </c>
      <c r="AQ9" s="220">
        <v>109.2</v>
      </c>
      <c r="AR9" s="220">
        <v>111.7</v>
      </c>
      <c r="AS9" s="220">
        <v>109.9</v>
      </c>
      <c r="AT9" s="220">
        <v>115</v>
      </c>
      <c r="AU9" s="220">
        <v>117</v>
      </c>
      <c r="AV9" s="220">
        <v>111.1</v>
      </c>
      <c r="AW9" s="220">
        <v>97.9</v>
      </c>
      <c r="AX9" s="220">
        <v>108.4</v>
      </c>
      <c r="AY9" s="220">
        <v>104.5</v>
      </c>
      <c r="AZ9" s="220">
        <v>117.5</v>
      </c>
      <c r="BA9" s="220">
        <v>105.1</v>
      </c>
      <c r="BB9" s="220">
        <v>116.4</v>
      </c>
      <c r="BC9" s="220">
        <v>110.4</v>
      </c>
      <c r="BD9" s="220">
        <v>108.8</v>
      </c>
      <c r="BE9" s="220">
        <v>110.1</v>
      </c>
      <c r="BF9" s="220">
        <v>107.7</v>
      </c>
      <c r="BG9" s="220">
        <v>114.1</v>
      </c>
      <c r="BH9" s="220">
        <v>107.8</v>
      </c>
      <c r="BI9" s="220">
        <v>105.1</v>
      </c>
      <c r="BJ9" s="220">
        <v>110.1</v>
      </c>
      <c r="BK9" s="220">
        <v>107.3</v>
      </c>
      <c r="BL9" s="220">
        <v>121.2</v>
      </c>
      <c r="BM9" s="220">
        <v>108.8</v>
      </c>
      <c r="BN9" s="220">
        <v>115.8</v>
      </c>
      <c r="BO9" s="220">
        <v>114.2</v>
      </c>
      <c r="BP9" s="220">
        <v>110.1</v>
      </c>
      <c r="BQ9" s="220">
        <v>114.7</v>
      </c>
      <c r="BR9" s="220">
        <v>109.4</v>
      </c>
    </row>
    <row r="10" spans="1:70" ht="12.75">
      <c r="A10" s="629" t="s">
        <v>279</v>
      </c>
      <c r="B10" s="217">
        <v>37.6</v>
      </c>
      <c r="C10" s="217">
        <v>34.9</v>
      </c>
      <c r="D10" s="217">
        <v>38.3</v>
      </c>
      <c r="E10" s="217">
        <v>37.1</v>
      </c>
      <c r="F10" s="217">
        <v>40.2</v>
      </c>
      <c r="G10" s="217">
        <v>39.4</v>
      </c>
      <c r="H10" s="217">
        <v>45.2</v>
      </c>
      <c r="I10" s="217">
        <v>46.8</v>
      </c>
      <c r="J10" s="217">
        <v>46.9</v>
      </c>
      <c r="K10" s="217">
        <v>45.3</v>
      </c>
      <c r="L10" s="217">
        <v>43.5</v>
      </c>
      <c r="M10" s="217">
        <v>46.7</v>
      </c>
      <c r="N10" s="217">
        <v>48.4</v>
      </c>
      <c r="O10" s="217">
        <v>44.2</v>
      </c>
      <c r="P10" s="217">
        <v>49.1</v>
      </c>
      <c r="Q10" s="218">
        <v>47.9</v>
      </c>
      <c r="R10" s="218">
        <v>49.7</v>
      </c>
      <c r="S10" s="218">
        <v>47.4</v>
      </c>
      <c r="T10" s="218">
        <v>47.9</v>
      </c>
      <c r="U10" s="218">
        <v>47.1</v>
      </c>
      <c r="V10" s="218">
        <v>45.9</v>
      </c>
      <c r="W10" s="218">
        <v>45.2</v>
      </c>
      <c r="X10" s="218">
        <v>45.7</v>
      </c>
      <c r="Y10" s="198">
        <v>47</v>
      </c>
      <c r="Z10" s="218">
        <v>48.2</v>
      </c>
      <c r="AA10" s="218">
        <v>44.5</v>
      </c>
      <c r="AB10" s="218">
        <v>48.3</v>
      </c>
      <c r="AC10" s="218">
        <v>45.9</v>
      </c>
      <c r="AD10" s="198">
        <v>48</v>
      </c>
      <c r="AE10" s="218">
        <v>45.9</v>
      </c>
      <c r="AF10" s="198">
        <v>44.7</v>
      </c>
      <c r="AG10" s="218">
        <v>44.7</v>
      </c>
      <c r="AH10" s="218">
        <v>41.8</v>
      </c>
      <c r="AI10" s="217">
        <v>48.9</v>
      </c>
      <c r="AJ10" s="217">
        <v>48.4</v>
      </c>
      <c r="AK10" s="217">
        <v>51.1</v>
      </c>
      <c r="AL10" s="217">
        <v>50.1</v>
      </c>
      <c r="AM10" s="217">
        <v>45.8</v>
      </c>
      <c r="AN10" s="217">
        <v>50.5</v>
      </c>
      <c r="AO10" s="217">
        <v>48.4</v>
      </c>
      <c r="AP10" s="220">
        <v>50</v>
      </c>
      <c r="AQ10" s="217">
        <v>48.4</v>
      </c>
      <c r="AR10" s="217">
        <v>49.7</v>
      </c>
      <c r="AS10" s="217">
        <v>49.9</v>
      </c>
      <c r="AT10" s="217">
        <v>47.3</v>
      </c>
      <c r="AU10" s="220">
        <v>48.9</v>
      </c>
      <c r="AV10" s="217">
        <v>46.6</v>
      </c>
      <c r="AW10" s="220">
        <v>42</v>
      </c>
      <c r="AX10" s="217">
        <v>52.8</v>
      </c>
      <c r="AY10" s="220">
        <v>48.1</v>
      </c>
      <c r="AZ10" s="220">
        <v>50.2</v>
      </c>
      <c r="BA10" s="220">
        <v>48.1</v>
      </c>
      <c r="BB10" s="220">
        <v>50.4</v>
      </c>
      <c r="BC10" s="220">
        <v>46.7</v>
      </c>
      <c r="BD10" s="220">
        <v>49.5</v>
      </c>
      <c r="BE10" s="220">
        <v>48.7</v>
      </c>
      <c r="BF10" s="220">
        <v>48.1</v>
      </c>
      <c r="BG10" s="220">
        <v>50.4</v>
      </c>
      <c r="BH10" s="220">
        <v>49.2</v>
      </c>
      <c r="BI10" s="220">
        <v>43.9</v>
      </c>
      <c r="BJ10" s="220">
        <v>50.6</v>
      </c>
      <c r="BK10" s="220">
        <v>45.6</v>
      </c>
      <c r="BL10" s="220">
        <v>52.9</v>
      </c>
      <c r="BM10" s="220">
        <v>47.6</v>
      </c>
      <c r="BN10" s="220">
        <v>50.2</v>
      </c>
      <c r="BO10" s="220">
        <v>48.9</v>
      </c>
      <c r="BP10" s="220">
        <v>49.8</v>
      </c>
      <c r="BQ10" s="220">
        <v>49.7</v>
      </c>
      <c r="BR10" s="220">
        <v>48.2</v>
      </c>
    </row>
    <row r="11" spans="1:70" ht="12.75">
      <c r="A11" s="630" t="s">
        <v>308</v>
      </c>
      <c r="B11" s="217">
        <v>30.3</v>
      </c>
      <c r="C11" s="217">
        <v>27.3</v>
      </c>
      <c r="D11" s="217">
        <v>28.5</v>
      </c>
      <c r="E11" s="217">
        <v>28.3</v>
      </c>
      <c r="F11" s="217">
        <v>28.6</v>
      </c>
      <c r="G11" s="217">
        <v>28.4</v>
      </c>
      <c r="H11" s="217">
        <v>35.5</v>
      </c>
      <c r="I11" s="217">
        <v>36.9</v>
      </c>
      <c r="J11" s="217">
        <v>37.9</v>
      </c>
      <c r="K11" s="217">
        <v>35.6</v>
      </c>
      <c r="L11" s="217">
        <v>33.3</v>
      </c>
      <c r="M11" s="217">
        <v>34.8</v>
      </c>
      <c r="N11" s="217">
        <v>36.8</v>
      </c>
      <c r="O11" s="217">
        <v>32.4</v>
      </c>
      <c r="P11" s="220">
        <v>35</v>
      </c>
      <c r="Q11" s="218">
        <v>34.7</v>
      </c>
      <c r="R11" s="218">
        <v>35.7</v>
      </c>
      <c r="S11" s="218">
        <v>32.9</v>
      </c>
      <c r="T11" s="218">
        <v>35.4</v>
      </c>
      <c r="U11" s="218">
        <v>39.2</v>
      </c>
      <c r="V11" s="198">
        <v>31</v>
      </c>
      <c r="W11" s="218">
        <v>32.9</v>
      </c>
      <c r="X11" s="218">
        <v>35.9</v>
      </c>
      <c r="Y11" s="198">
        <v>36.4</v>
      </c>
      <c r="Z11" s="218">
        <v>33.2</v>
      </c>
      <c r="AA11" s="218">
        <v>31.2</v>
      </c>
      <c r="AB11" s="218">
        <v>38.6</v>
      </c>
      <c r="AC11" s="218">
        <v>34.3</v>
      </c>
      <c r="AD11" s="218">
        <v>34.6</v>
      </c>
      <c r="AE11" s="198">
        <v>34</v>
      </c>
      <c r="AF11" s="218">
        <v>27.3</v>
      </c>
      <c r="AG11" s="218">
        <v>25.2</v>
      </c>
      <c r="AH11" s="218">
        <v>28.7</v>
      </c>
      <c r="AI11" s="217">
        <v>41.2</v>
      </c>
      <c r="AJ11" s="217">
        <v>42.8</v>
      </c>
      <c r="AK11" s="217">
        <v>42.2</v>
      </c>
      <c r="AL11" s="217">
        <v>32.4</v>
      </c>
      <c r="AM11" s="220">
        <v>32</v>
      </c>
      <c r="AN11" s="220">
        <v>35.2</v>
      </c>
      <c r="AO11" s="220">
        <v>30.8</v>
      </c>
      <c r="AP11" s="220">
        <v>30.8</v>
      </c>
      <c r="AQ11" s="220">
        <v>30.2</v>
      </c>
      <c r="AR11" s="220">
        <v>31.9</v>
      </c>
      <c r="AS11" s="220">
        <v>33.2</v>
      </c>
      <c r="AT11" s="220">
        <v>28.7</v>
      </c>
      <c r="AU11" s="220">
        <v>37</v>
      </c>
      <c r="AV11" s="220">
        <v>31.5</v>
      </c>
      <c r="AW11" s="220">
        <v>26.8</v>
      </c>
      <c r="AX11" s="220">
        <v>34.9</v>
      </c>
      <c r="AY11" s="220">
        <v>32.1</v>
      </c>
      <c r="AZ11" s="220">
        <v>29.5</v>
      </c>
      <c r="BA11" s="220">
        <v>28.5</v>
      </c>
      <c r="BB11" s="220">
        <v>27.1</v>
      </c>
      <c r="BC11" s="220">
        <v>25.5</v>
      </c>
      <c r="BD11" s="220">
        <v>29.6</v>
      </c>
      <c r="BE11" s="220">
        <v>32.3</v>
      </c>
      <c r="BF11" s="220">
        <v>34.3</v>
      </c>
      <c r="BG11" s="220">
        <v>37.4</v>
      </c>
      <c r="BH11" s="220">
        <v>36.7</v>
      </c>
      <c r="BI11" s="220">
        <v>33.5</v>
      </c>
      <c r="BJ11" s="220">
        <v>35.1</v>
      </c>
      <c r="BK11" s="220">
        <v>28.1</v>
      </c>
      <c r="BL11" s="220">
        <v>36</v>
      </c>
      <c r="BM11" s="220">
        <v>29.2</v>
      </c>
      <c r="BN11" s="220">
        <v>32.9</v>
      </c>
      <c r="BO11" s="220">
        <v>33.5</v>
      </c>
      <c r="BP11" s="220">
        <v>32.1</v>
      </c>
      <c r="BQ11" s="220">
        <v>31.6</v>
      </c>
      <c r="BR11" s="220">
        <v>28.5</v>
      </c>
    </row>
    <row r="12" spans="1:70" ht="12.75">
      <c r="A12" s="629" t="s">
        <v>282</v>
      </c>
      <c r="B12" s="217">
        <v>84.9</v>
      </c>
      <c r="C12" s="217">
        <v>70.3</v>
      </c>
      <c r="D12" s="217">
        <v>84.2</v>
      </c>
      <c r="E12" s="217">
        <v>87</v>
      </c>
      <c r="F12" s="217">
        <v>100.3</v>
      </c>
      <c r="G12" s="217">
        <v>51.7</v>
      </c>
      <c r="H12" s="217">
        <v>108.1</v>
      </c>
      <c r="I12" s="217">
        <v>127.1</v>
      </c>
      <c r="J12" s="217">
        <v>122.6</v>
      </c>
      <c r="K12" s="217">
        <v>119.3</v>
      </c>
      <c r="L12" s="217">
        <v>112.3</v>
      </c>
      <c r="M12" s="220">
        <v>121</v>
      </c>
      <c r="N12" s="217">
        <v>74.8</v>
      </c>
      <c r="O12" s="217">
        <v>118.7</v>
      </c>
      <c r="P12" s="217">
        <v>127.5</v>
      </c>
      <c r="Q12" s="218">
        <v>126.8</v>
      </c>
      <c r="R12" s="218">
        <v>132.4</v>
      </c>
      <c r="S12" s="218">
        <v>124.4</v>
      </c>
      <c r="T12" s="218">
        <v>73.5</v>
      </c>
      <c r="U12" s="218">
        <v>120.8</v>
      </c>
      <c r="V12" s="198">
        <v>119</v>
      </c>
      <c r="W12" s="218">
        <v>123.5</v>
      </c>
      <c r="X12" s="218">
        <v>130.8</v>
      </c>
      <c r="Y12" s="198">
        <v>127.9</v>
      </c>
      <c r="Z12" s="218">
        <v>81.5</v>
      </c>
      <c r="AA12" s="218">
        <v>123.2</v>
      </c>
      <c r="AB12" s="218">
        <v>124.5</v>
      </c>
      <c r="AC12" s="218">
        <v>123.3</v>
      </c>
      <c r="AD12" s="218">
        <v>125.1</v>
      </c>
      <c r="AE12" s="218">
        <v>117.4</v>
      </c>
      <c r="AF12" s="198">
        <v>106.4</v>
      </c>
      <c r="AG12" s="218">
        <v>55.8</v>
      </c>
      <c r="AH12" s="218">
        <v>118.2</v>
      </c>
      <c r="AI12" s="217">
        <v>122.9</v>
      </c>
      <c r="AJ12" s="220">
        <v>101</v>
      </c>
      <c r="AK12" s="217">
        <v>123.5</v>
      </c>
      <c r="AL12" s="217">
        <v>115.3</v>
      </c>
      <c r="AM12" s="220">
        <v>97</v>
      </c>
      <c r="AN12" s="220">
        <v>86.3</v>
      </c>
      <c r="AO12" s="220">
        <v>118.5</v>
      </c>
      <c r="AP12" s="220">
        <v>127.5</v>
      </c>
      <c r="AQ12" s="220">
        <v>114.8</v>
      </c>
      <c r="AR12" s="220">
        <v>112.9</v>
      </c>
      <c r="AS12" s="220">
        <v>107</v>
      </c>
      <c r="AT12" s="220">
        <v>103.3</v>
      </c>
      <c r="AU12" s="217">
        <v>93.3</v>
      </c>
      <c r="AV12" s="220">
        <v>129</v>
      </c>
      <c r="AW12" s="217">
        <v>127.3</v>
      </c>
      <c r="AX12" s="217">
        <v>119.8</v>
      </c>
      <c r="AY12" s="220">
        <v>104</v>
      </c>
      <c r="AZ12" s="220">
        <v>116</v>
      </c>
      <c r="BA12" s="220">
        <v>83.5</v>
      </c>
      <c r="BB12" s="220">
        <v>123.6</v>
      </c>
      <c r="BC12" s="220">
        <v>121.6</v>
      </c>
      <c r="BD12" s="220">
        <v>117.6</v>
      </c>
      <c r="BE12" s="220">
        <v>111.5</v>
      </c>
      <c r="BF12" s="220">
        <v>102.2</v>
      </c>
      <c r="BG12" s="220">
        <v>115.8</v>
      </c>
      <c r="BH12" s="220">
        <v>65.1</v>
      </c>
      <c r="BI12" s="220">
        <v>117.7</v>
      </c>
      <c r="BJ12" s="220">
        <v>126</v>
      </c>
      <c r="BK12" s="220">
        <v>120.5</v>
      </c>
      <c r="BL12" s="220">
        <v>128.4</v>
      </c>
      <c r="BM12" s="220">
        <v>124.6</v>
      </c>
      <c r="BN12" s="220">
        <v>121.7</v>
      </c>
      <c r="BO12" s="220">
        <v>78</v>
      </c>
      <c r="BP12" s="220">
        <v>128.1</v>
      </c>
      <c r="BQ12" s="220">
        <v>128.8</v>
      </c>
      <c r="BR12" s="220">
        <v>124.1</v>
      </c>
    </row>
    <row r="13" spans="1:70" ht="12.75">
      <c r="A13" s="629" t="s">
        <v>140</v>
      </c>
      <c r="B13" s="217">
        <v>4.3</v>
      </c>
      <c r="C13" s="217">
        <v>6.4</v>
      </c>
      <c r="D13" s="217">
        <v>5.9</v>
      </c>
      <c r="E13" s="217">
        <v>8</v>
      </c>
      <c r="F13" s="217">
        <v>7.2</v>
      </c>
      <c r="G13" s="217">
        <v>4.9</v>
      </c>
      <c r="H13" s="217">
        <v>6.4</v>
      </c>
      <c r="I13" s="217">
        <v>9</v>
      </c>
      <c r="J13" s="217">
        <v>8.3</v>
      </c>
      <c r="K13" s="217">
        <v>7.6</v>
      </c>
      <c r="L13" s="217">
        <v>7.7</v>
      </c>
      <c r="M13" s="217">
        <v>5.8</v>
      </c>
      <c r="N13" s="217">
        <v>4.3</v>
      </c>
      <c r="O13" s="217">
        <v>7.8</v>
      </c>
      <c r="P13" s="217">
        <v>7.8</v>
      </c>
      <c r="Q13" s="218">
        <v>10.2</v>
      </c>
      <c r="R13" s="218">
        <v>10.5</v>
      </c>
      <c r="S13" s="218">
        <v>10.1</v>
      </c>
      <c r="T13" s="218">
        <v>6.4</v>
      </c>
      <c r="U13" s="218">
        <v>6.1</v>
      </c>
      <c r="V13" s="218">
        <v>8.3</v>
      </c>
      <c r="W13" s="218">
        <v>9.4</v>
      </c>
      <c r="X13" s="218">
        <v>10.9</v>
      </c>
      <c r="Y13" s="218">
        <v>12.1</v>
      </c>
      <c r="Z13" s="218">
        <v>7.6</v>
      </c>
      <c r="AA13" s="198">
        <v>7</v>
      </c>
      <c r="AB13" s="218">
        <v>10.6</v>
      </c>
      <c r="AC13" s="198">
        <v>7.9</v>
      </c>
      <c r="AD13" s="218">
        <v>6.5</v>
      </c>
      <c r="AE13" s="198">
        <v>6</v>
      </c>
      <c r="AF13" s="218">
        <v>7.2</v>
      </c>
      <c r="AG13" s="198">
        <v>5</v>
      </c>
      <c r="AH13" s="218">
        <v>9.2</v>
      </c>
      <c r="AI13" s="217">
        <v>10.6</v>
      </c>
      <c r="AJ13" s="217">
        <v>11.5</v>
      </c>
      <c r="AK13" s="217">
        <v>7.6</v>
      </c>
      <c r="AL13" s="217">
        <v>5.1</v>
      </c>
      <c r="AM13" s="220">
        <v>6</v>
      </c>
      <c r="AN13" s="220">
        <v>5.6</v>
      </c>
      <c r="AO13" s="220">
        <v>7.1</v>
      </c>
      <c r="AP13" s="220">
        <v>6.5</v>
      </c>
      <c r="AQ13" s="220">
        <v>7.9</v>
      </c>
      <c r="AR13" s="220">
        <v>6.7</v>
      </c>
      <c r="AS13" s="220">
        <v>7.4</v>
      </c>
      <c r="AT13" s="220">
        <v>9.2</v>
      </c>
      <c r="AU13" s="220">
        <v>4.8</v>
      </c>
      <c r="AV13" s="220">
        <v>6.4</v>
      </c>
      <c r="AW13" s="220">
        <v>8.6</v>
      </c>
      <c r="AX13" s="220">
        <v>7.5</v>
      </c>
      <c r="AY13" s="220">
        <v>6.2</v>
      </c>
      <c r="AZ13" s="220">
        <v>7.4</v>
      </c>
      <c r="BA13" s="220">
        <v>5.7</v>
      </c>
      <c r="BB13" s="220">
        <v>6.7</v>
      </c>
      <c r="BC13" s="220">
        <v>7.4</v>
      </c>
      <c r="BD13" s="220">
        <v>6</v>
      </c>
      <c r="BE13" s="220">
        <v>6.6</v>
      </c>
      <c r="BF13" s="220">
        <v>8.3</v>
      </c>
      <c r="BG13" s="220">
        <v>11.3</v>
      </c>
      <c r="BH13" s="220">
        <v>6.8</v>
      </c>
      <c r="BI13" s="220">
        <v>7.4</v>
      </c>
      <c r="BJ13" s="220">
        <v>11.8</v>
      </c>
      <c r="BK13" s="220">
        <v>8.7</v>
      </c>
      <c r="BL13" s="220">
        <v>10.4</v>
      </c>
      <c r="BM13" s="220">
        <v>9.8</v>
      </c>
      <c r="BN13" s="220">
        <v>9.6</v>
      </c>
      <c r="BO13" s="220">
        <v>7.4</v>
      </c>
      <c r="BP13" s="220">
        <v>7.5</v>
      </c>
      <c r="BQ13" s="220">
        <v>9</v>
      </c>
      <c r="BR13" s="220">
        <v>9</v>
      </c>
    </row>
    <row r="14" spans="1:70" s="216" customFormat="1" ht="16.5" customHeight="1">
      <c r="A14" s="628" t="s">
        <v>41</v>
      </c>
      <c r="B14" s="221"/>
      <c r="C14" s="221"/>
      <c r="D14" s="221"/>
      <c r="E14" s="222"/>
      <c r="F14" s="222"/>
      <c r="G14" s="222"/>
      <c r="H14" s="222"/>
      <c r="I14" s="222"/>
      <c r="J14" s="222"/>
      <c r="K14" s="222"/>
      <c r="L14" s="222"/>
      <c r="M14" s="222"/>
      <c r="N14" s="222"/>
      <c r="O14" s="222"/>
      <c r="P14" s="222"/>
      <c r="Q14" s="223"/>
      <c r="R14" s="223"/>
      <c r="S14" s="223"/>
      <c r="T14" s="223"/>
      <c r="U14" s="223"/>
      <c r="V14" s="223"/>
      <c r="W14" s="223"/>
      <c r="X14" s="223"/>
      <c r="Y14" s="223"/>
      <c r="Z14" s="223"/>
      <c r="AA14" s="223"/>
      <c r="AB14" s="223"/>
      <c r="AC14" s="223"/>
      <c r="AD14" s="223"/>
      <c r="AE14" s="223"/>
      <c r="AF14" s="224"/>
      <c r="AG14" s="224"/>
      <c r="AH14" s="224"/>
      <c r="AU14" s="220"/>
      <c r="AV14" s="217"/>
      <c r="AW14" s="220"/>
      <c r="AX14" s="217"/>
      <c r="AY14" s="220"/>
      <c r="AZ14" s="220"/>
      <c r="BA14" s="220"/>
      <c r="BB14" s="220"/>
      <c r="BC14" s="220"/>
      <c r="BD14" s="220"/>
      <c r="BE14" s="220"/>
      <c r="BF14" s="220"/>
      <c r="BG14" s="220"/>
      <c r="BH14" s="220"/>
      <c r="BI14" s="220"/>
      <c r="BJ14" s="220"/>
      <c r="BK14" s="220"/>
      <c r="BL14" s="220"/>
      <c r="BM14" s="220"/>
      <c r="BN14" s="220"/>
      <c r="BO14" s="220"/>
      <c r="BP14" s="220"/>
      <c r="BQ14" s="220"/>
      <c r="BR14" s="220"/>
    </row>
    <row r="15" spans="1:70" ht="12.75">
      <c r="A15" s="629" t="s">
        <v>137</v>
      </c>
      <c r="B15" s="217">
        <v>7.5</v>
      </c>
      <c r="C15" s="217">
        <v>6.3</v>
      </c>
      <c r="D15" s="217">
        <v>6.3</v>
      </c>
      <c r="E15" s="217">
        <v>6.9</v>
      </c>
      <c r="F15" s="217">
        <v>8.8</v>
      </c>
      <c r="G15" s="217">
        <v>6.9</v>
      </c>
      <c r="H15" s="217">
        <v>6.6</v>
      </c>
      <c r="I15" s="217">
        <v>5.9</v>
      </c>
      <c r="J15" s="217">
        <v>5.6</v>
      </c>
      <c r="K15" s="217">
        <v>5.9</v>
      </c>
      <c r="L15" s="217">
        <v>5.7</v>
      </c>
      <c r="M15" s="217">
        <v>6.4</v>
      </c>
      <c r="N15" s="217">
        <v>5.3</v>
      </c>
      <c r="O15" s="217">
        <v>4.8</v>
      </c>
      <c r="P15" s="220">
        <v>6.21</v>
      </c>
      <c r="Q15" s="218">
        <v>6.3</v>
      </c>
      <c r="R15" s="198">
        <v>7</v>
      </c>
      <c r="S15" s="218">
        <v>6.4</v>
      </c>
      <c r="T15" s="218">
        <v>7.2</v>
      </c>
      <c r="U15" s="218">
        <v>6.8</v>
      </c>
      <c r="V15" s="218">
        <v>7.5</v>
      </c>
      <c r="W15" s="218">
        <v>6.3</v>
      </c>
      <c r="X15" s="218">
        <v>6.1</v>
      </c>
      <c r="Y15" s="218">
        <v>6.6</v>
      </c>
      <c r="Z15" s="218">
        <v>4.6</v>
      </c>
      <c r="AA15" s="218">
        <v>4.6</v>
      </c>
      <c r="AB15" s="198">
        <v>5</v>
      </c>
      <c r="AC15" s="198">
        <v>5</v>
      </c>
      <c r="AD15" s="198">
        <v>4.8</v>
      </c>
      <c r="AE15" s="198">
        <v>6.7</v>
      </c>
      <c r="AF15" s="218">
        <v>6.4</v>
      </c>
      <c r="AG15" s="198">
        <v>6.2</v>
      </c>
      <c r="AH15" s="218">
        <v>5.9</v>
      </c>
      <c r="AI15" s="217">
        <v>5.7</v>
      </c>
      <c r="AJ15" s="220">
        <v>6</v>
      </c>
      <c r="AK15" s="217">
        <v>6.1</v>
      </c>
      <c r="AL15" s="217">
        <v>5.5</v>
      </c>
      <c r="AM15" s="217">
        <v>4.9</v>
      </c>
      <c r="AN15" s="217">
        <v>5.8</v>
      </c>
      <c r="AO15" s="217">
        <v>6.5</v>
      </c>
      <c r="AP15" s="217">
        <v>6.6</v>
      </c>
      <c r="AQ15" s="217">
        <v>6.9</v>
      </c>
      <c r="AR15" s="217">
        <v>5.9</v>
      </c>
      <c r="AS15" s="217">
        <v>6.4</v>
      </c>
      <c r="AT15" s="217">
        <v>6.7</v>
      </c>
      <c r="AU15" s="220">
        <v>5.8</v>
      </c>
      <c r="AV15" s="220">
        <v>5.1</v>
      </c>
      <c r="AW15" s="220">
        <v>5.5</v>
      </c>
      <c r="AX15" s="220">
        <v>6.9</v>
      </c>
      <c r="AY15" s="220">
        <v>5.7</v>
      </c>
      <c r="AZ15" s="220">
        <v>5.7</v>
      </c>
      <c r="BA15" s="220">
        <v>7.1</v>
      </c>
      <c r="BB15" s="220">
        <v>6.2</v>
      </c>
      <c r="BC15" s="220">
        <v>5.3</v>
      </c>
      <c r="BD15" s="220">
        <v>3.6</v>
      </c>
      <c r="BE15" s="220">
        <v>3.2</v>
      </c>
      <c r="BF15" s="220">
        <v>3.5</v>
      </c>
      <c r="BG15" s="220">
        <v>2.6</v>
      </c>
      <c r="BH15" s="220">
        <v>2.9</v>
      </c>
      <c r="BI15" s="220">
        <v>3.4</v>
      </c>
      <c r="BJ15" s="220">
        <v>3</v>
      </c>
      <c r="BK15" s="220">
        <v>2.3</v>
      </c>
      <c r="BL15" s="220">
        <v>2.3</v>
      </c>
      <c r="BM15" s="220">
        <v>2.7</v>
      </c>
      <c r="BN15" s="220">
        <v>2.7</v>
      </c>
      <c r="BO15" s="220">
        <v>2.4</v>
      </c>
      <c r="BP15" s="220">
        <v>2.6</v>
      </c>
      <c r="BQ15" s="220">
        <v>2.7</v>
      </c>
      <c r="BR15" s="220">
        <v>3.4</v>
      </c>
    </row>
    <row r="16" spans="1:70" ht="12.75">
      <c r="A16" s="629" t="s">
        <v>140</v>
      </c>
      <c r="B16" s="217">
        <v>6.4</v>
      </c>
      <c r="C16" s="217">
        <v>5.1</v>
      </c>
      <c r="D16" s="217">
        <v>4.3</v>
      </c>
      <c r="E16" s="217">
        <v>5.8</v>
      </c>
      <c r="F16" s="217">
        <v>6.8</v>
      </c>
      <c r="G16" s="217">
        <v>6.1</v>
      </c>
      <c r="H16" s="217">
        <v>6.3</v>
      </c>
      <c r="I16" s="217">
        <v>5.8</v>
      </c>
      <c r="J16" s="217">
        <v>4.5</v>
      </c>
      <c r="K16" s="217">
        <v>5.6</v>
      </c>
      <c r="L16" s="217">
        <v>4.9</v>
      </c>
      <c r="M16" s="217">
        <v>5.9</v>
      </c>
      <c r="N16" s="217">
        <v>5.4</v>
      </c>
      <c r="O16" s="220">
        <v>5</v>
      </c>
      <c r="P16" s="220">
        <v>7.44</v>
      </c>
      <c r="Q16" s="218">
        <v>7.5</v>
      </c>
      <c r="R16" s="218">
        <v>6.7</v>
      </c>
      <c r="S16" s="218">
        <v>6.9</v>
      </c>
      <c r="T16" s="218">
        <v>7.5</v>
      </c>
      <c r="U16" s="218">
        <v>8.8</v>
      </c>
      <c r="V16" s="218">
        <v>7.7</v>
      </c>
      <c r="W16" s="218">
        <v>6.8</v>
      </c>
      <c r="X16" s="218">
        <v>7.6</v>
      </c>
      <c r="Y16" s="218">
        <v>7.8</v>
      </c>
      <c r="Z16" s="218">
        <v>5.3</v>
      </c>
      <c r="AA16" s="218">
        <v>5.7</v>
      </c>
      <c r="AB16" s="218">
        <v>6.8</v>
      </c>
      <c r="AC16" s="218">
        <v>6.7</v>
      </c>
      <c r="AD16" s="198">
        <v>7.1</v>
      </c>
      <c r="AE16" s="218">
        <v>6.7</v>
      </c>
      <c r="AF16" s="218">
        <v>5.4</v>
      </c>
      <c r="AG16" s="218">
        <v>6.4</v>
      </c>
      <c r="AH16" s="218">
        <v>4.4</v>
      </c>
      <c r="AI16" s="217">
        <v>3.7</v>
      </c>
      <c r="AJ16" s="217">
        <v>3.9</v>
      </c>
      <c r="AK16" s="220">
        <v>4</v>
      </c>
      <c r="AL16" s="217">
        <v>3.3</v>
      </c>
      <c r="AM16" s="217">
        <v>3.7</v>
      </c>
      <c r="AN16" s="217">
        <v>5.2</v>
      </c>
      <c r="AO16" s="217">
        <v>4.8</v>
      </c>
      <c r="AP16" s="217">
        <v>4.3</v>
      </c>
      <c r="AQ16" s="220">
        <v>5</v>
      </c>
      <c r="AR16" s="220">
        <v>4.2</v>
      </c>
      <c r="AS16" s="220">
        <v>4.8</v>
      </c>
      <c r="AT16" s="220">
        <v>4.8</v>
      </c>
      <c r="AU16" s="217">
        <v>4.1</v>
      </c>
      <c r="AV16" s="217">
        <v>3.6</v>
      </c>
      <c r="AW16" s="217">
        <v>3.6</v>
      </c>
      <c r="AX16" s="217">
        <v>5.5</v>
      </c>
      <c r="AY16" s="217">
        <v>4.6</v>
      </c>
      <c r="AZ16" s="220">
        <v>5</v>
      </c>
      <c r="BA16" s="217">
        <v>7.4</v>
      </c>
      <c r="BB16" s="217">
        <v>6.9</v>
      </c>
      <c r="BC16" s="217">
        <v>5.4</v>
      </c>
      <c r="BD16" s="217">
        <v>3.4</v>
      </c>
      <c r="BE16" s="217">
        <v>3.6</v>
      </c>
      <c r="BF16" s="217">
        <v>3.5</v>
      </c>
      <c r="BG16" s="217">
        <v>3.7</v>
      </c>
      <c r="BH16" s="217">
        <v>4.1</v>
      </c>
      <c r="BI16" s="217">
        <v>2.9</v>
      </c>
      <c r="BJ16" s="217">
        <v>2.8</v>
      </c>
      <c r="BK16" s="217">
        <v>3.5</v>
      </c>
      <c r="BL16" s="217">
        <v>2.9</v>
      </c>
      <c r="BM16" s="217">
        <v>1.8</v>
      </c>
      <c r="BN16" s="217">
        <v>4.4</v>
      </c>
      <c r="BO16" s="217">
        <v>3.1</v>
      </c>
      <c r="BP16" s="217">
        <v>2.7</v>
      </c>
      <c r="BQ16" s="220">
        <v>2</v>
      </c>
      <c r="BR16" s="217">
        <v>3.2</v>
      </c>
    </row>
    <row r="17" spans="1:70" ht="12.75">
      <c r="A17" s="629" t="s">
        <v>289</v>
      </c>
      <c r="B17" s="217">
        <v>0.02</v>
      </c>
      <c r="C17" s="217">
        <v>0.01</v>
      </c>
      <c r="D17" s="217">
        <v>0.03</v>
      </c>
      <c r="E17" s="217">
        <v>0.05</v>
      </c>
      <c r="F17" s="217">
        <v>0.03</v>
      </c>
      <c r="G17" s="217">
        <v>0.05</v>
      </c>
      <c r="H17" s="217">
        <v>0.06</v>
      </c>
      <c r="I17" s="217">
        <v>0.12</v>
      </c>
      <c r="J17" s="217">
        <v>0.05</v>
      </c>
      <c r="K17" s="217">
        <v>0.04</v>
      </c>
      <c r="L17" s="217">
        <v>0.09</v>
      </c>
      <c r="M17" s="217">
        <v>0.06</v>
      </c>
      <c r="N17" s="217">
        <v>0.02</v>
      </c>
      <c r="O17" s="217">
        <v>0.08</v>
      </c>
      <c r="P17" s="217">
        <v>0.1</v>
      </c>
      <c r="Q17" s="225">
        <v>0.12</v>
      </c>
      <c r="R17" s="218">
        <v>0.13</v>
      </c>
      <c r="S17" s="218">
        <v>0.05</v>
      </c>
      <c r="T17" s="218">
        <v>0.05</v>
      </c>
      <c r="U17" s="218">
        <v>0.02</v>
      </c>
      <c r="V17" s="218">
        <v>0.02</v>
      </c>
      <c r="W17" s="218">
        <v>0.047</v>
      </c>
      <c r="X17" s="218">
        <v>0.07</v>
      </c>
      <c r="Y17" s="218">
        <v>0.06</v>
      </c>
      <c r="Z17" s="218">
        <v>0.06</v>
      </c>
      <c r="AA17" s="218">
        <v>0.08</v>
      </c>
      <c r="AB17" s="218">
        <v>0.04</v>
      </c>
      <c r="AC17" s="218">
        <v>0.04</v>
      </c>
      <c r="AD17" s="218">
        <v>0.03</v>
      </c>
      <c r="AE17" s="218">
        <v>0.06</v>
      </c>
      <c r="AF17" s="198">
        <v>0.02</v>
      </c>
      <c r="AG17" s="218">
        <v>0.03</v>
      </c>
      <c r="AH17" s="218">
        <v>0.01</v>
      </c>
      <c r="AI17" s="217">
        <v>0.002</v>
      </c>
      <c r="AJ17" s="217">
        <v>0.03</v>
      </c>
      <c r="AK17" s="217">
        <v>0.02</v>
      </c>
      <c r="AL17" s="217" t="s">
        <v>34</v>
      </c>
      <c r="AM17" s="217" t="s">
        <v>34</v>
      </c>
      <c r="AN17" s="267" t="s">
        <v>15</v>
      </c>
      <c r="AO17" s="267" t="s">
        <v>15</v>
      </c>
      <c r="AP17" s="267" t="s">
        <v>15</v>
      </c>
      <c r="AQ17" s="267" t="s">
        <v>15</v>
      </c>
      <c r="AR17" s="267" t="s">
        <v>15</v>
      </c>
      <c r="AS17" s="267" t="s">
        <v>15</v>
      </c>
      <c r="AT17" s="267" t="s">
        <v>15</v>
      </c>
      <c r="AU17" s="311" t="s">
        <v>15</v>
      </c>
      <c r="AV17" s="311" t="s">
        <v>15</v>
      </c>
      <c r="AW17" s="311" t="s">
        <v>15</v>
      </c>
      <c r="AX17" s="311" t="s">
        <v>15</v>
      </c>
      <c r="AY17" s="311" t="s">
        <v>15</v>
      </c>
      <c r="AZ17" s="311" t="s">
        <v>15</v>
      </c>
      <c r="BA17" s="311" t="s">
        <v>15</v>
      </c>
      <c r="BB17" s="311" t="s">
        <v>15</v>
      </c>
      <c r="BC17" s="311" t="s">
        <v>15</v>
      </c>
      <c r="BD17" s="311" t="s">
        <v>15</v>
      </c>
      <c r="BE17" s="311" t="s">
        <v>15</v>
      </c>
      <c r="BF17" s="311" t="s">
        <v>15</v>
      </c>
      <c r="BG17" s="311" t="s">
        <v>15</v>
      </c>
      <c r="BH17" s="311" t="s">
        <v>15</v>
      </c>
      <c r="BI17" s="311" t="s">
        <v>15</v>
      </c>
      <c r="BJ17" s="311" t="s">
        <v>15</v>
      </c>
      <c r="BK17" s="311" t="s">
        <v>15</v>
      </c>
      <c r="BL17" s="311" t="s">
        <v>15</v>
      </c>
      <c r="BM17" s="311" t="s">
        <v>15</v>
      </c>
      <c r="BN17" s="311" t="s">
        <v>15</v>
      </c>
      <c r="BO17" s="311" t="s">
        <v>15</v>
      </c>
      <c r="BP17" s="311" t="s">
        <v>15</v>
      </c>
      <c r="BQ17" s="311" t="s">
        <v>15</v>
      </c>
      <c r="BR17" s="311" t="s">
        <v>15</v>
      </c>
    </row>
    <row r="18" spans="1:70" s="216" customFormat="1" ht="16.5" customHeight="1">
      <c r="A18" s="628" t="s">
        <v>43</v>
      </c>
      <c r="B18" s="221"/>
      <c r="C18" s="221"/>
      <c r="D18" s="221"/>
      <c r="E18" s="222"/>
      <c r="F18" s="222"/>
      <c r="G18" s="222"/>
      <c r="H18" s="222"/>
      <c r="I18" s="222"/>
      <c r="J18" s="222"/>
      <c r="K18" s="222"/>
      <c r="L18" s="222"/>
      <c r="M18" s="222"/>
      <c r="N18" s="222"/>
      <c r="O18" s="222"/>
      <c r="P18" s="222"/>
      <c r="Q18" s="223"/>
      <c r="R18" s="223"/>
      <c r="S18" s="223"/>
      <c r="T18" s="223"/>
      <c r="U18" s="223"/>
      <c r="V18" s="223"/>
      <c r="W18" s="223"/>
      <c r="X18" s="223"/>
      <c r="Y18" s="223"/>
      <c r="Z18" s="223"/>
      <c r="AA18" s="223"/>
      <c r="AB18" s="223"/>
      <c r="AC18" s="223"/>
      <c r="AD18" s="223"/>
      <c r="AE18" s="223"/>
      <c r="AF18" s="218"/>
      <c r="AG18" s="218"/>
      <c r="AH18" s="218"/>
      <c r="AU18" s="220"/>
      <c r="AV18" s="217"/>
      <c r="AW18" s="220"/>
      <c r="AX18" s="217"/>
      <c r="AY18" s="220"/>
      <c r="AZ18" s="220"/>
      <c r="BA18" s="220"/>
      <c r="BB18" s="220"/>
      <c r="BC18" s="220"/>
      <c r="BD18" s="220"/>
      <c r="BE18" s="220"/>
      <c r="BF18" s="220"/>
      <c r="BG18" s="220"/>
      <c r="BH18" s="220"/>
      <c r="BI18" s="220"/>
      <c r="BJ18" s="220"/>
      <c r="BK18" s="220"/>
      <c r="BL18" s="220"/>
      <c r="BM18" s="220"/>
      <c r="BN18" s="220"/>
      <c r="BO18" s="220"/>
      <c r="BP18" s="220"/>
      <c r="BQ18" s="220"/>
      <c r="BR18" s="220"/>
    </row>
    <row r="19" spans="1:70" ht="12.75">
      <c r="A19" s="629" t="s">
        <v>137</v>
      </c>
      <c r="B19" s="217">
        <v>3.6</v>
      </c>
      <c r="C19" s="217">
        <v>4.2</v>
      </c>
      <c r="D19" s="217">
        <v>4.2</v>
      </c>
      <c r="E19" s="217">
        <v>3.7</v>
      </c>
      <c r="F19" s="217">
        <v>4.5</v>
      </c>
      <c r="G19" s="217">
        <v>4.3</v>
      </c>
      <c r="H19" s="217">
        <v>4.1</v>
      </c>
      <c r="I19" s="217">
        <v>4.6</v>
      </c>
      <c r="J19" s="217">
        <v>4.9</v>
      </c>
      <c r="K19" s="217">
        <v>5.5</v>
      </c>
      <c r="L19" s="220">
        <v>5</v>
      </c>
      <c r="M19" s="217">
        <v>4.6</v>
      </c>
      <c r="N19" s="220">
        <v>5</v>
      </c>
      <c r="O19" s="217">
        <v>4.8</v>
      </c>
      <c r="P19" s="220">
        <v>5</v>
      </c>
      <c r="Q19" s="218">
        <v>4.4</v>
      </c>
      <c r="R19" s="218">
        <v>5.2</v>
      </c>
      <c r="S19" s="218">
        <v>4.9</v>
      </c>
      <c r="T19" s="218">
        <v>4.6</v>
      </c>
      <c r="U19" s="218">
        <v>5.3</v>
      </c>
      <c r="V19" s="218">
        <v>5.2</v>
      </c>
      <c r="W19" s="218">
        <v>4.8</v>
      </c>
      <c r="X19" s="218">
        <v>4.6</v>
      </c>
      <c r="Y19" s="218">
        <v>5.7</v>
      </c>
      <c r="Z19" s="218">
        <v>5.6</v>
      </c>
      <c r="AA19" s="218">
        <v>6.2</v>
      </c>
      <c r="AB19" s="218">
        <v>7.1</v>
      </c>
      <c r="AC19" s="218">
        <v>5.6</v>
      </c>
      <c r="AD19" s="218">
        <v>7.2</v>
      </c>
      <c r="AE19" s="218">
        <v>7.5</v>
      </c>
      <c r="AF19" s="218">
        <v>6.4</v>
      </c>
      <c r="AG19" s="198">
        <v>7</v>
      </c>
      <c r="AH19" s="218">
        <v>7.2</v>
      </c>
      <c r="AI19" s="217">
        <v>6.5</v>
      </c>
      <c r="AJ19" s="220">
        <v>8</v>
      </c>
      <c r="AK19" s="217">
        <v>7.3</v>
      </c>
      <c r="AL19" s="217">
        <v>6.1</v>
      </c>
      <c r="AM19" s="217">
        <v>7.3</v>
      </c>
      <c r="AN19" s="217">
        <v>9.5</v>
      </c>
      <c r="AO19" s="217">
        <v>9.8</v>
      </c>
      <c r="AP19" s="217">
        <v>8.7</v>
      </c>
      <c r="AQ19" s="217">
        <v>9.7</v>
      </c>
      <c r="AR19" s="217">
        <v>9.3</v>
      </c>
      <c r="AS19" s="217">
        <v>8.3</v>
      </c>
      <c r="AT19" s="217">
        <v>9.7</v>
      </c>
      <c r="AU19" s="220">
        <v>7</v>
      </c>
      <c r="AV19" s="220">
        <v>8.8</v>
      </c>
      <c r="AW19" s="220">
        <v>10.1</v>
      </c>
      <c r="AX19" s="220">
        <v>7.7</v>
      </c>
      <c r="AY19" s="220">
        <v>8.2</v>
      </c>
      <c r="AZ19" s="220">
        <v>8</v>
      </c>
      <c r="BA19" s="220">
        <v>6.8</v>
      </c>
      <c r="BB19" s="220">
        <v>7.7</v>
      </c>
      <c r="BC19" s="220">
        <v>6.1</v>
      </c>
      <c r="BD19" s="220">
        <v>6.9</v>
      </c>
      <c r="BE19" s="220">
        <v>8.4</v>
      </c>
      <c r="BF19" s="220">
        <v>8</v>
      </c>
      <c r="BG19" s="220">
        <v>7.7</v>
      </c>
      <c r="BH19" s="220">
        <v>7.1</v>
      </c>
      <c r="BI19" s="220">
        <v>8.3</v>
      </c>
      <c r="BJ19" s="220">
        <v>5.7</v>
      </c>
      <c r="BK19" s="220">
        <v>5.8</v>
      </c>
      <c r="BL19" s="220">
        <v>7.5</v>
      </c>
      <c r="BM19" s="220">
        <v>6.7</v>
      </c>
      <c r="BN19" s="220">
        <v>6.8</v>
      </c>
      <c r="BO19" s="220">
        <v>7.7</v>
      </c>
      <c r="BP19" s="220">
        <v>5.2</v>
      </c>
      <c r="BQ19" s="220">
        <v>6.6</v>
      </c>
      <c r="BR19" s="220">
        <v>7.8</v>
      </c>
    </row>
    <row r="20" spans="1:70" ht="12.75">
      <c r="A20" s="629" t="s">
        <v>289</v>
      </c>
      <c r="B20" s="217">
        <v>1.1</v>
      </c>
      <c r="C20" s="217">
        <v>1.4</v>
      </c>
      <c r="D20" s="217">
        <v>1.5</v>
      </c>
      <c r="E20" s="217">
        <v>0.9</v>
      </c>
      <c r="F20" s="217">
        <v>1.6</v>
      </c>
      <c r="G20" s="217">
        <v>1.2</v>
      </c>
      <c r="H20" s="217">
        <v>1.4</v>
      </c>
      <c r="I20" s="217">
        <v>1</v>
      </c>
      <c r="J20" s="217">
        <v>0.7</v>
      </c>
      <c r="K20" s="217">
        <v>1.5</v>
      </c>
      <c r="L20" s="217">
        <v>1.3</v>
      </c>
      <c r="M20" s="217">
        <v>1.2</v>
      </c>
      <c r="N20" s="220">
        <v>1</v>
      </c>
      <c r="O20" s="217">
        <v>1.1</v>
      </c>
      <c r="P20" s="220">
        <v>1</v>
      </c>
      <c r="Q20" s="218">
        <v>0.3</v>
      </c>
      <c r="R20" s="218">
        <v>1.2</v>
      </c>
      <c r="S20" s="218">
        <v>1.1</v>
      </c>
      <c r="T20" s="218">
        <v>0.5</v>
      </c>
      <c r="U20" s="218">
        <v>1.4</v>
      </c>
      <c r="V20" s="218">
        <v>0.7</v>
      </c>
      <c r="W20" s="218">
        <v>0.7</v>
      </c>
      <c r="X20" s="198">
        <v>1</v>
      </c>
      <c r="Y20" s="218">
        <v>1.2</v>
      </c>
      <c r="Z20" s="218">
        <v>0.7</v>
      </c>
      <c r="AA20" s="218">
        <v>0.7</v>
      </c>
      <c r="AB20" s="218">
        <v>0.2</v>
      </c>
      <c r="AC20" s="218">
        <v>0.7</v>
      </c>
      <c r="AD20" s="218">
        <v>1.7</v>
      </c>
      <c r="AE20" s="218">
        <v>1.1</v>
      </c>
      <c r="AF20" s="218">
        <v>0.8</v>
      </c>
      <c r="AG20" s="218">
        <v>0.6</v>
      </c>
      <c r="AH20" s="218">
        <v>0.5</v>
      </c>
      <c r="AI20" s="217">
        <v>0.6</v>
      </c>
      <c r="AJ20" s="217">
        <v>0.6</v>
      </c>
      <c r="AK20" s="217">
        <v>0.9</v>
      </c>
      <c r="AL20" s="217">
        <v>0.6</v>
      </c>
      <c r="AM20" s="217">
        <v>0.4</v>
      </c>
      <c r="AN20" s="217">
        <v>0.9</v>
      </c>
      <c r="AO20" s="217">
        <v>0.9</v>
      </c>
      <c r="AP20" s="217">
        <v>0.9</v>
      </c>
      <c r="AQ20" s="217">
        <v>0.8</v>
      </c>
      <c r="AR20" s="217">
        <v>0.3</v>
      </c>
      <c r="AS20" s="220">
        <v>1</v>
      </c>
      <c r="AT20" s="217">
        <v>1.2</v>
      </c>
      <c r="AU20" s="217">
        <v>0.3</v>
      </c>
      <c r="AV20" s="217">
        <v>0.5</v>
      </c>
      <c r="AW20" s="217">
        <v>0.4</v>
      </c>
      <c r="AX20" s="217">
        <v>0.3</v>
      </c>
      <c r="AY20" s="217">
        <v>0.5</v>
      </c>
      <c r="AZ20" s="217">
        <v>0.4</v>
      </c>
      <c r="BA20" s="217">
        <v>0.1</v>
      </c>
      <c r="BB20" s="217">
        <v>0.4</v>
      </c>
      <c r="BC20" s="217">
        <v>0.3</v>
      </c>
      <c r="BD20" s="217">
        <v>0.2</v>
      </c>
      <c r="BE20" s="217">
        <v>0.2</v>
      </c>
      <c r="BF20" s="217">
        <v>0.1</v>
      </c>
      <c r="BG20" s="217">
        <v>0.2</v>
      </c>
      <c r="BH20" s="217">
        <v>0.1</v>
      </c>
      <c r="BI20" s="217">
        <v>0.2</v>
      </c>
      <c r="BJ20" s="217">
        <v>0.1</v>
      </c>
      <c r="BK20" s="217">
        <v>0.2</v>
      </c>
      <c r="BL20" s="217">
        <v>0.6</v>
      </c>
      <c r="BM20" s="217">
        <v>0.4</v>
      </c>
      <c r="BN20" s="217">
        <v>0.5</v>
      </c>
      <c r="BO20" s="217">
        <v>0.3</v>
      </c>
      <c r="BP20" s="217">
        <v>0.3</v>
      </c>
      <c r="BQ20" s="217">
        <v>0.3</v>
      </c>
      <c r="BR20" s="217">
        <v>0.4</v>
      </c>
    </row>
    <row r="21" spans="1:70" ht="12.75">
      <c r="A21" s="629" t="s">
        <v>305</v>
      </c>
      <c r="B21" s="217">
        <v>1</v>
      </c>
      <c r="C21" s="217">
        <v>1.1</v>
      </c>
      <c r="D21" s="217">
        <v>1.1</v>
      </c>
      <c r="E21" s="217">
        <v>0.8</v>
      </c>
      <c r="F21" s="217">
        <v>1.2</v>
      </c>
      <c r="G21" s="217">
        <v>1.1</v>
      </c>
      <c r="H21" s="217">
        <v>1.2</v>
      </c>
      <c r="I21" s="217">
        <v>1.5</v>
      </c>
      <c r="J21" s="217">
        <v>1.4</v>
      </c>
      <c r="K21" s="217">
        <v>1.5</v>
      </c>
      <c r="L21" s="217">
        <v>1.4</v>
      </c>
      <c r="M21" s="217">
        <v>1.1</v>
      </c>
      <c r="N21" s="217">
        <v>1.2</v>
      </c>
      <c r="O21" s="217">
        <v>1.2</v>
      </c>
      <c r="P21" s="217">
        <v>1.2</v>
      </c>
      <c r="Q21" s="218">
        <v>1.1</v>
      </c>
      <c r="R21" s="218">
        <v>1.1</v>
      </c>
      <c r="S21" s="218">
        <v>1.2</v>
      </c>
      <c r="T21" s="218">
        <v>1.2</v>
      </c>
      <c r="U21" s="218">
        <v>1.3</v>
      </c>
      <c r="V21" s="218">
        <v>1.4</v>
      </c>
      <c r="W21" s="218">
        <v>1.2</v>
      </c>
      <c r="X21" s="218">
        <v>1.1</v>
      </c>
      <c r="Y21" s="218">
        <v>1.4</v>
      </c>
      <c r="Z21" s="218">
        <v>1.5</v>
      </c>
      <c r="AA21" s="198">
        <v>2</v>
      </c>
      <c r="AB21" s="218">
        <v>2.2</v>
      </c>
      <c r="AC21" s="198">
        <v>1.9</v>
      </c>
      <c r="AD21" s="218">
        <v>2.5</v>
      </c>
      <c r="AE21" s="218">
        <v>2.4</v>
      </c>
      <c r="AF21" s="198">
        <v>2.2</v>
      </c>
      <c r="AG21" s="218">
        <v>2.6</v>
      </c>
      <c r="AH21" s="218">
        <v>2.8</v>
      </c>
      <c r="AI21" s="217">
        <v>2.3</v>
      </c>
      <c r="AJ21" s="217">
        <v>3.2</v>
      </c>
      <c r="AK21" s="217">
        <v>2.1</v>
      </c>
      <c r="AL21" s="217">
        <v>2.3</v>
      </c>
      <c r="AM21" s="217">
        <v>2.2</v>
      </c>
      <c r="AN21" s="217">
        <v>3.3</v>
      </c>
      <c r="AO21" s="220">
        <v>3</v>
      </c>
      <c r="AP21" s="217">
        <v>2.2</v>
      </c>
      <c r="AQ21" s="217">
        <v>2.6</v>
      </c>
      <c r="AR21" s="217">
        <v>2.7</v>
      </c>
      <c r="AS21" s="217">
        <v>2.3</v>
      </c>
      <c r="AT21" s="217">
        <v>2.9</v>
      </c>
      <c r="AU21" s="220">
        <v>2.3</v>
      </c>
      <c r="AV21" s="220">
        <v>2.7</v>
      </c>
      <c r="AW21" s="220">
        <v>3.5</v>
      </c>
      <c r="AX21" s="220">
        <v>2.4</v>
      </c>
      <c r="AY21" s="220">
        <v>2.7</v>
      </c>
      <c r="AZ21" s="220">
        <v>2.5</v>
      </c>
      <c r="BA21" s="220">
        <v>2.2</v>
      </c>
      <c r="BB21" s="220">
        <v>2.5</v>
      </c>
      <c r="BC21" s="220">
        <v>1.7</v>
      </c>
      <c r="BD21" s="220">
        <v>2</v>
      </c>
      <c r="BE21" s="220">
        <v>2.2</v>
      </c>
      <c r="BF21" s="220">
        <v>2.6</v>
      </c>
      <c r="BG21" s="220">
        <v>1.9</v>
      </c>
      <c r="BH21" s="220">
        <v>2.1</v>
      </c>
      <c r="BI21" s="220">
        <v>2.1</v>
      </c>
      <c r="BJ21" s="220">
        <v>1.7</v>
      </c>
      <c r="BK21" s="220">
        <v>1.5</v>
      </c>
      <c r="BL21" s="220">
        <v>2</v>
      </c>
      <c r="BM21" s="220">
        <v>1.7</v>
      </c>
      <c r="BN21" s="220">
        <v>1.9</v>
      </c>
      <c r="BO21" s="220">
        <v>2.3</v>
      </c>
      <c r="BP21" s="220">
        <v>1.6</v>
      </c>
      <c r="BQ21" s="220">
        <v>1.7</v>
      </c>
      <c r="BR21" s="220">
        <v>2.1</v>
      </c>
    </row>
    <row r="22" spans="1:70" ht="12.75">
      <c r="A22" s="629" t="s">
        <v>140</v>
      </c>
      <c r="B22" s="217">
        <v>1.1</v>
      </c>
      <c r="C22" s="217">
        <v>1.6</v>
      </c>
      <c r="D22" s="217">
        <v>1.9</v>
      </c>
      <c r="E22" s="217">
        <v>1.4</v>
      </c>
      <c r="F22" s="217">
        <v>1.8</v>
      </c>
      <c r="G22" s="217">
        <v>1.5</v>
      </c>
      <c r="H22" s="217">
        <v>1.5</v>
      </c>
      <c r="I22" s="217">
        <v>1.9</v>
      </c>
      <c r="J22" s="220">
        <v>3</v>
      </c>
      <c r="K22" s="217">
        <v>2.6</v>
      </c>
      <c r="L22" s="217">
        <v>2.5</v>
      </c>
      <c r="M22" s="217">
        <v>2.3</v>
      </c>
      <c r="N22" s="217">
        <v>2.5</v>
      </c>
      <c r="O22" s="217">
        <v>2.7</v>
      </c>
      <c r="P22" s="217">
        <v>2.2</v>
      </c>
      <c r="Q22" s="218">
        <v>2.2</v>
      </c>
      <c r="R22" s="218">
        <v>2.5</v>
      </c>
      <c r="S22" s="218">
        <v>2.4</v>
      </c>
      <c r="T22" s="218">
        <v>2.7</v>
      </c>
      <c r="U22" s="198">
        <v>3</v>
      </c>
      <c r="V22" s="218">
        <v>2.6</v>
      </c>
      <c r="W22" s="218">
        <v>2.5</v>
      </c>
      <c r="X22" s="198">
        <v>2.8</v>
      </c>
      <c r="Y22" s="218">
        <v>3.1</v>
      </c>
      <c r="Z22" s="198">
        <v>2.7</v>
      </c>
      <c r="AA22" s="218">
        <v>3.1</v>
      </c>
      <c r="AB22" s="218">
        <v>2.8</v>
      </c>
      <c r="AC22" s="218">
        <v>2.4</v>
      </c>
      <c r="AD22" s="218">
        <v>2.6</v>
      </c>
      <c r="AE22" s="218">
        <v>2.7</v>
      </c>
      <c r="AF22" s="218">
        <v>2.5</v>
      </c>
      <c r="AG22" s="218">
        <v>2.4</v>
      </c>
      <c r="AH22" s="218">
        <v>2.6</v>
      </c>
      <c r="AI22" s="217">
        <v>2.3</v>
      </c>
      <c r="AJ22" s="217">
        <v>2.6</v>
      </c>
      <c r="AK22" s="217">
        <v>2.8</v>
      </c>
      <c r="AL22" s="217">
        <v>2.4</v>
      </c>
      <c r="AM22" s="217">
        <v>2.1</v>
      </c>
      <c r="AN22" s="217">
        <v>2.2</v>
      </c>
      <c r="AO22" s="217">
        <v>2.8</v>
      </c>
      <c r="AP22" s="217">
        <v>2.1</v>
      </c>
      <c r="AQ22" s="217">
        <v>2.7</v>
      </c>
      <c r="AR22" s="217">
        <v>2.4</v>
      </c>
      <c r="AS22" s="217">
        <v>2.4</v>
      </c>
      <c r="AT22" s="217">
        <v>3.9</v>
      </c>
      <c r="AU22" s="220">
        <v>2.1</v>
      </c>
      <c r="AV22" s="217">
        <v>3.1</v>
      </c>
      <c r="AW22" s="220">
        <v>2.8</v>
      </c>
      <c r="AX22" s="217">
        <v>2.2</v>
      </c>
      <c r="AY22" s="220">
        <v>2.2</v>
      </c>
      <c r="AZ22" s="220">
        <v>2.2</v>
      </c>
      <c r="BA22" s="220">
        <v>2.7</v>
      </c>
      <c r="BB22" s="220">
        <v>3.7</v>
      </c>
      <c r="BC22" s="220">
        <v>2.5</v>
      </c>
      <c r="BD22" s="220">
        <v>2.2</v>
      </c>
      <c r="BE22" s="220">
        <v>3.3</v>
      </c>
      <c r="BF22" s="220">
        <v>4.1</v>
      </c>
      <c r="BG22" s="220">
        <v>3.1</v>
      </c>
      <c r="BH22" s="220">
        <v>2.6</v>
      </c>
      <c r="BI22" s="220">
        <v>3.4</v>
      </c>
      <c r="BJ22" s="220">
        <v>2.8</v>
      </c>
      <c r="BK22" s="220">
        <v>2.1</v>
      </c>
      <c r="BL22" s="220">
        <v>2.7</v>
      </c>
      <c r="BM22" s="220">
        <v>3</v>
      </c>
      <c r="BN22" s="220">
        <v>2.5</v>
      </c>
      <c r="BO22" s="220">
        <v>3.5</v>
      </c>
      <c r="BP22" s="220">
        <v>2.1</v>
      </c>
      <c r="BQ22" s="220">
        <v>2.7</v>
      </c>
      <c r="BR22" s="220">
        <v>2.9</v>
      </c>
    </row>
    <row r="23" spans="2:22" ht="12.75">
      <c r="B23" s="215"/>
      <c r="C23" s="215"/>
      <c r="D23" s="215"/>
      <c r="E23" s="215"/>
      <c r="F23" s="215"/>
      <c r="G23" s="215"/>
      <c r="H23" s="215"/>
      <c r="I23" s="215"/>
      <c r="J23" s="215"/>
      <c r="K23" s="215"/>
      <c r="L23" s="215"/>
      <c r="M23" s="215"/>
      <c r="N23" s="215"/>
      <c r="O23" s="215"/>
      <c r="P23" s="215"/>
      <c r="Q23" s="215"/>
      <c r="R23" s="215"/>
      <c r="S23" s="215"/>
      <c r="T23" s="215"/>
      <c r="U23" s="215"/>
      <c r="V23" s="215"/>
    </row>
    <row r="24" spans="1:22" ht="12.75">
      <c r="A24" s="632" t="s">
        <v>309</v>
      </c>
      <c r="B24" s="226"/>
      <c r="C24" s="226"/>
      <c r="D24" s="226"/>
      <c r="E24" s="226"/>
      <c r="F24" s="226"/>
      <c r="G24" s="226"/>
      <c r="H24" s="226"/>
      <c r="I24" s="226"/>
      <c r="J24" s="226"/>
      <c r="K24" s="226"/>
      <c r="L24" s="226"/>
      <c r="M24" s="226"/>
      <c r="N24" s="226"/>
      <c r="O24" s="226"/>
      <c r="P24" s="226"/>
      <c r="Q24" s="226"/>
      <c r="R24" s="226"/>
      <c r="S24" s="226"/>
      <c r="T24" s="226"/>
      <c r="U24" s="226"/>
      <c r="V24" s="226"/>
    </row>
    <row r="25" spans="2:21" ht="12.75">
      <c r="B25" s="226"/>
      <c r="C25" s="226"/>
      <c r="D25" s="226"/>
      <c r="E25" s="226"/>
      <c r="F25" s="226"/>
      <c r="G25" s="226"/>
      <c r="H25" s="226"/>
      <c r="I25" s="226"/>
      <c r="J25" s="226"/>
      <c r="K25" s="226"/>
      <c r="L25" s="226"/>
      <c r="M25" s="226"/>
      <c r="N25" s="226"/>
      <c r="O25" s="226"/>
      <c r="P25" s="226"/>
      <c r="Q25" s="226"/>
      <c r="R25" s="226"/>
      <c r="T25" s="226"/>
      <c r="U25" s="226"/>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BA22"/>
  <sheetViews>
    <sheetView showGridLines="0" zoomScale="112" zoomScaleNormal="112" zoomScalePageLayoutView="0" workbookViewId="0" topLeftCell="A1">
      <pane xSplit="1" ySplit="1" topLeftCell="AR2" activePane="bottomRight" state="frozen"/>
      <selection pane="topLeft" activeCell="Z1" sqref="Z1"/>
      <selection pane="topRight" activeCell="Z1" sqref="Z1"/>
      <selection pane="bottomLeft" activeCell="Z1" sqref="Z1"/>
      <selection pane="bottomRight" activeCell="AY14" sqref="AY14"/>
    </sheetView>
  </sheetViews>
  <sheetFormatPr defaultColWidth="9.421875" defaultRowHeight="12.75"/>
  <cols>
    <col min="1" max="1" width="40.00390625" style="228" customWidth="1"/>
    <col min="2" max="2" width="8.00390625" style="228" customWidth="1"/>
    <col min="3" max="3" width="0.9921875" style="190" customWidth="1"/>
    <col min="4" max="9" width="8.00390625" style="228" customWidth="1"/>
    <col min="10" max="10" width="0.9921875" style="190" customWidth="1"/>
    <col min="11" max="16" width="8.00390625" style="228" customWidth="1"/>
    <col min="17" max="17" width="0.9921875" style="190" customWidth="1"/>
    <col min="18" max="23" width="8.00390625" style="228" customWidth="1"/>
    <col min="24" max="24" width="0.9921875" style="190" customWidth="1"/>
    <col min="25" max="28" width="8.00390625" style="228" customWidth="1"/>
    <col min="29" max="29" width="8.421875" style="228" customWidth="1"/>
    <col min="30" max="31" width="7.57421875" style="228" customWidth="1"/>
    <col min="32" max="32" width="8.57421875" style="228" customWidth="1"/>
    <col min="33" max="41" width="9.421875" style="228" customWidth="1"/>
    <col min="42" max="42" width="7.421875" style="228" bestFit="1" customWidth="1"/>
    <col min="43" max="46" width="9.421875" style="228" customWidth="1"/>
    <col min="47" max="47" width="10.140625" style="228" customWidth="1"/>
    <col min="48" max="48" width="7.8515625" style="228" customWidth="1"/>
    <col min="49" max="50" width="9.421875" style="228" customWidth="1"/>
    <col min="51" max="51" width="8.7109375" style="228" customWidth="1"/>
    <col min="52" max="52" width="9.140625" style="228" customWidth="1"/>
    <col min="53" max="16384" width="9.421875" style="228" customWidth="1"/>
  </cols>
  <sheetData>
    <row r="1" spans="1:52" ht="38.25">
      <c r="A1" s="635" t="s">
        <v>352</v>
      </c>
      <c r="B1" s="187">
        <v>2015</v>
      </c>
      <c r="C1" s="227"/>
      <c r="D1" s="187" t="s">
        <v>8</v>
      </c>
      <c r="E1" s="187" t="s">
        <v>9</v>
      </c>
      <c r="F1" s="187" t="s">
        <v>10</v>
      </c>
      <c r="G1" s="187" t="s">
        <v>11</v>
      </c>
      <c r="H1" s="187">
        <v>2016</v>
      </c>
      <c r="I1" s="186" t="s">
        <v>362</v>
      </c>
      <c r="J1" s="227"/>
      <c r="K1" s="187" t="s">
        <v>16</v>
      </c>
      <c r="L1" s="187" t="s">
        <v>17</v>
      </c>
      <c r="M1" s="187" t="s">
        <v>20</v>
      </c>
      <c r="N1" s="187" t="s">
        <v>21</v>
      </c>
      <c r="O1" s="187">
        <v>2017</v>
      </c>
      <c r="P1" s="186" t="s">
        <v>363</v>
      </c>
      <c r="Q1" s="227"/>
      <c r="R1" s="187" t="s">
        <v>27</v>
      </c>
      <c r="S1" s="187" t="s">
        <v>29</v>
      </c>
      <c r="T1" s="187" t="s">
        <v>32</v>
      </c>
      <c r="U1" s="187" t="s">
        <v>35</v>
      </c>
      <c r="V1" s="187">
        <v>2018</v>
      </c>
      <c r="W1" s="186" t="s">
        <v>364</v>
      </c>
      <c r="X1" s="227"/>
      <c r="Y1" s="187" t="s">
        <v>39</v>
      </c>
      <c r="Z1" s="187" t="s">
        <v>40</v>
      </c>
      <c r="AA1" s="187" t="s">
        <v>44</v>
      </c>
      <c r="AB1" s="187" t="s">
        <v>45</v>
      </c>
      <c r="AC1" s="186">
        <v>2019</v>
      </c>
      <c r="AD1" s="186" t="s">
        <v>365</v>
      </c>
      <c r="AE1" s="186" t="s">
        <v>46</v>
      </c>
      <c r="AF1" s="186" t="s">
        <v>47</v>
      </c>
      <c r="AG1" s="186" t="s">
        <v>48</v>
      </c>
      <c r="AH1" s="186" t="s">
        <v>49</v>
      </c>
      <c r="AI1" s="186">
        <v>2020</v>
      </c>
      <c r="AJ1" s="186" t="s">
        <v>366</v>
      </c>
      <c r="AK1" s="186" t="s">
        <v>51</v>
      </c>
      <c r="AL1" s="186" t="s">
        <v>54</v>
      </c>
      <c r="AM1" s="186" t="s">
        <v>55</v>
      </c>
      <c r="AN1" s="186" t="s">
        <v>56</v>
      </c>
      <c r="AO1" s="186">
        <v>2021</v>
      </c>
      <c r="AP1" s="186" t="s">
        <v>367</v>
      </c>
      <c r="AQ1" s="186" t="s">
        <v>57</v>
      </c>
      <c r="AR1" s="186" t="s">
        <v>58</v>
      </c>
      <c r="AS1" s="186" t="s">
        <v>59</v>
      </c>
      <c r="AT1" s="186" t="s">
        <v>61</v>
      </c>
      <c r="AU1" s="186">
        <v>2022</v>
      </c>
      <c r="AV1" s="186" t="s">
        <v>368</v>
      </c>
      <c r="AW1" s="186" t="s">
        <v>62</v>
      </c>
      <c r="AX1" s="186" t="s">
        <v>63</v>
      </c>
      <c r="AY1" s="186" t="s">
        <v>64</v>
      </c>
      <c r="AZ1" s="186" t="s">
        <v>369</v>
      </c>
    </row>
    <row r="2" spans="1:52" s="229" customFormat="1" ht="16.5" customHeight="1">
      <c r="A2" s="636" t="s">
        <v>22</v>
      </c>
      <c r="B2" s="188"/>
      <c r="C2" s="189"/>
      <c r="D2" s="188"/>
      <c r="E2" s="188"/>
      <c r="F2" s="188"/>
      <c r="G2" s="188"/>
      <c r="H2" s="188"/>
      <c r="I2" s="188"/>
      <c r="J2" s="189"/>
      <c r="K2" s="188"/>
      <c r="L2" s="188"/>
      <c r="M2" s="188"/>
      <c r="N2" s="188"/>
      <c r="O2" s="188"/>
      <c r="P2" s="188"/>
      <c r="Q2" s="189"/>
      <c r="R2" s="188"/>
      <c r="S2" s="188"/>
      <c r="T2" s="188"/>
      <c r="U2" s="188"/>
      <c r="V2" s="188"/>
      <c r="W2" s="188"/>
      <c r="X2" s="189"/>
      <c r="Y2" s="188"/>
      <c r="Z2" s="188"/>
      <c r="AA2" s="188"/>
      <c r="AB2" s="188"/>
      <c r="AC2" s="188"/>
      <c r="AD2" s="188"/>
      <c r="AE2" s="188"/>
      <c r="AF2" s="188"/>
      <c r="AG2" s="188"/>
      <c r="AJ2" s="235"/>
      <c r="AL2" s="188"/>
      <c r="AM2" s="188"/>
      <c r="AN2" s="188"/>
      <c r="AO2" s="188"/>
      <c r="AP2" s="188"/>
      <c r="AQ2" s="188"/>
      <c r="AR2" s="188"/>
      <c r="AS2" s="188"/>
      <c r="AT2" s="188"/>
      <c r="AU2" s="188"/>
      <c r="AV2" s="188"/>
      <c r="AW2" s="188"/>
      <c r="AX2" s="188"/>
      <c r="AY2" s="188"/>
      <c r="AZ2" s="188"/>
    </row>
    <row r="3" spans="1:52" ht="12.75">
      <c r="A3" s="637" t="s">
        <v>353</v>
      </c>
      <c r="B3" s="230">
        <v>294.4</v>
      </c>
      <c r="C3" s="192"/>
      <c r="D3" s="193">
        <v>50.6</v>
      </c>
      <c r="E3" s="191">
        <v>58.5</v>
      </c>
      <c r="F3" s="191">
        <v>56.7</v>
      </c>
      <c r="G3" s="191">
        <v>80.5</v>
      </c>
      <c r="H3" s="191">
        <v>246.4</v>
      </c>
      <c r="I3" s="194">
        <f aca="true" t="shared" si="0" ref="I3:I11">H3/B3-1</f>
        <v>-0.1630434782608695</v>
      </c>
      <c r="J3" s="195"/>
      <c r="K3" s="193">
        <v>51</v>
      </c>
      <c r="L3" s="191">
        <v>55.4</v>
      </c>
      <c r="M3" s="191">
        <v>53.222</v>
      </c>
      <c r="N3" s="191">
        <v>73.9</v>
      </c>
      <c r="O3" s="191">
        <v>233.5</v>
      </c>
      <c r="P3" s="231">
        <f aca="true" t="shared" si="1" ref="P3:P11">O3/H3-1</f>
        <v>-0.05235389610389618</v>
      </c>
      <c r="Q3" s="196"/>
      <c r="R3" s="193">
        <v>34.512</v>
      </c>
      <c r="S3" s="191">
        <v>47.3</v>
      </c>
      <c r="T3" s="191">
        <v>58.5</v>
      </c>
      <c r="U3" s="191">
        <v>74.1</v>
      </c>
      <c r="V3" s="191">
        <v>214.3</v>
      </c>
      <c r="W3" s="232">
        <f>V3/O3-1</f>
        <v>-0.08222698072805135</v>
      </c>
      <c r="X3" s="197"/>
      <c r="Y3" s="193">
        <v>67.1</v>
      </c>
      <c r="Z3" s="198">
        <v>71.4</v>
      </c>
      <c r="AA3" s="198">
        <v>63.8</v>
      </c>
      <c r="AB3" s="198">
        <v>73.4</v>
      </c>
      <c r="AC3" s="198">
        <v>275.7</v>
      </c>
      <c r="AD3" s="231">
        <f>AC3/V3-1</f>
        <v>0.2865142323845076</v>
      </c>
      <c r="AE3" s="198">
        <v>67.5</v>
      </c>
      <c r="AF3" s="198">
        <v>80.3</v>
      </c>
      <c r="AG3" s="198">
        <v>63.9</v>
      </c>
      <c r="AH3" s="198">
        <v>89</v>
      </c>
      <c r="AI3" s="198">
        <v>300.7</v>
      </c>
      <c r="AJ3" s="231">
        <f>AI3/AC3-1</f>
        <v>0.09067827348567281</v>
      </c>
      <c r="AK3" s="277">
        <v>65.3</v>
      </c>
      <c r="AL3" s="302">
        <v>74.5</v>
      </c>
      <c r="AM3" s="303">
        <v>62</v>
      </c>
      <c r="AN3" s="303">
        <v>77.5</v>
      </c>
      <c r="AO3" s="303">
        <v>279.3</v>
      </c>
      <c r="AP3" s="440">
        <f>AO3/AI3-1</f>
        <v>-0.07116727635517117</v>
      </c>
      <c r="AQ3" s="303">
        <v>66.1</v>
      </c>
      <c r="AR3" s="303">
        <v>74.2</v>
      </c>
      <c r="AS3" s="303">
        <v>69.889</v>
      </c>
      <c r="AT3" s="303">
        <v>69.557</v>
      </c>
      <c r="AU3" s="303">
        <v>279.7</v>
      </c>
      <c r="AV3" s="440">
        <f>AU3/AO3-1</f>
        <v>0.0014321518080915308</v>
      </c>
      <c r="AW3" s="303">
        <v>83.326</v>
      </c>
      <c r="AX3" s="303">
        <v>77.883</v>
      </c>
      <c r="AY3" s="458">
        <v>70</v>
      </c>
      <c r="AZ3" s="459">
        <f>AY3/AS3-1</f>
        <v>0.0015882327691052467</v>
      </c>
    </row>
    <row r="4" spans="1:52" ht="12.75">
      <c r="A4" s="637" t="s">
        <v>354</v>
      </c>
      <c r="B4" s="233">
        <v>264.8</v>
      </c>
      <c r="C4" s="192"/>
      <c r="D4" s="193">
        <v>65.6</v>
      </c>
      <c r="E4" s="206">
        <v>73.6</v>
      </c>
      <c r="F4" s="206">
        <v>69.8</v>
      </c>
      <c r="G4" s="206">
        <v>56</v>
      </c>
      <c r="H4" s="206">
        <v>265.1</v>
      </c>
      <c r="I4" s="207">
        <f t="shared" si="0"/>
        <v>0.0011329305135951984</v>
      </c>
      <c r="J4" s="195"/>
      <c r="K4" s="193">
        <v>65.6</v>
      </c>
      <c r="L4" s="206">
        <v>66.8</v>
      </c>
      <c r="M4" s="206">
        <v>64.3</v>
      </c>
      <c r="N4" s="206">
        <v>63.201</v>
      </c>
      <c r="O4" s="206">
        <v>259.9</v>
      </c>
      <c r="P4" s="234">
        <f t="shared" si="1"/>
        <v>-0.019615239532252193</v>
      </c>
      <c r="Q4" s="196"/>
      <c r="R4" s="193">
        <v>64.734</v>
      </c>
      <c r="S4" s="206">
        <v>65.2</v>
      </c>
      <c r="T4" s="206">
        <v>68.3</v>
      </c>
      <c r="U4" s="206">
        <v>66.4</v>
      </c>
      <c r="V4" s="206">
        <v>264.6</v>
      </c>
      <c r="W4" s="235">
        <f>V4/O4-1</f>
        <v>0.01808387841477499</v>
      </c>
      <c r="X4" s="197"/>
      <c r="Y4" s="193">
        <v>63.8</v>
      </c>
      <c r="Z4" s="198">
        <v>69.7</v>
      </c>
      <c r="AA4" s="198">
        <v>66.8</v>
      </c>
      <c r="AB4" s="198">
        <v>65.1</v>
      </c>
      <c r="AC4" s="198">
        <v>265.3</v>
      </c>
      <c r="AD4" s="235">
        <f aca="true" t="shared" si="2" ref="AD4:AD10">AC4/V4-1</f>
        <v>0.002645502645502562</v>
      </c>
      <c r="AE4" s="198">
        <v>63.5</v>
      </c>
      <c r="AF4" s="198">
        <v>63.6</v>
      </c>
      <c r="AG4" s="198">
        <v>62.9</v>
      </c>
      <c r="AH4" s="198">
        <v>66.3</v>
      </c>
      <c r="AI4" s="198">
        <v>256.4</v>
      </c>
      <c r="AJ4" s="235">
        <f>AI4/AC4-1</f>
        <v>-0.033546928006030985</v>
      </c>
      <c r="AK4" s="277">
        <v>70</v>
      </c>
      <c r="AL4" s="302">
        <v>72.6</v>
      </c>
      <c r="AM4" s="302">
        <v>69.4</v>
      </c>
      <c r="AN4" s="303">
        <v>66</v>
      </c>
      <c r="AO4" s="303">
        <v>278</v>
      </c>
      <c r="AP4" s="440">
        <f aca="true" t="shared" si="3" ref="AP4:AP18">AO4/AI4-1</f>
        <v>0.08424336973478952</v>
      </c>
      <c r="AQ4" s="302">
        <v>76.4</v>
      </c>
      <c r="AR4" s="302">
        <v>74.5</v>
      </c>
      <c r="AS4" s="303">
        <v>66.621</v>
      </c>
      <c r="AT4" s="303">
        <v>64.817</v>
      </c>
      <c r="AU4" s="303">
        <v>282.3</v>
      </c>
      <c r="AV4" s="440">
        <f aca="true" t="shared" si="4" ref="AV4:AV18">AU4/AO4-1</f>
        <v>0.015467625899280524</v>
      </c>
      <c r="AW4" s="303">
        <v>72.816</v>
      </c>
      <c r="AX4" s="303">
        <v>68.425</v>
      </c>
      <c r="AY4" s="458">
        <v>69.7</v>
      </c>
      <c r="AZ4" s="459">
        <f aca="true" t="shared" si="5" ref="AZ4:AZ18">AY4/AS4-1</f>
        <v>0.046216658411011746</v>
      </c>
    </row>
    <row r="5" spans="1:52" ht="12.75">
      <c r="A5" s="624" t="s">
        <v>355</v>
      </c>
      <c r="B5" s="233">
        <v>0</v>
      </c>
      <c r="C5" s="192"/>
      <c r="D5" s="193" t="s">
        <v>34</v>
      </c>
      <c r="E5" s="206" t="s">
        <v>34</v>
      </c>
      <c r="F5" s="206" t="s">
        <v>34</v>
      </c>
      <c r="G5" s="206" t="s">
        <v>34</v>
      </c>
      <c r="H5" s="206">
        <v>35.2</v>
      </c>
      <c r="I5" s="207" t="s">
        <v>34</v>
      </c>
      <c r="J5" s="195"/>
      <c r="K5" s="193">
        <v>-0.3</v>
      </c>
      <c r="L5" s="206">
        <v>0</v>
      </c>
      <c r="M5" s="206">
        <v>0</v>
      </c>
      <c r="N5" s="206">
        <v>0</v>
      </c>
      <c r="O5" s="206">
        <v>-0.3</v>
      </c>
      <c r="P5" s="234" t="s">
        <v>33</v>
      </c>
      <c r="Q5" s="196"/>
      <c r="R5" s="193">
        <v>0</v>
      </c>
      <c r="S5" s="206">
        <v>11.3</v>
      </c>
      <c r="T5" s="206">
        <v>6.8</v>
      </c>
      <c r="U5" s="206">
        <v>4.2</v>
      </c>
      <c r="V5" s="206">
        <v>22.3</v>
      </c>
      <c r="W5" s="235" t="s">
        <v>34</v>
      </c>
      <c r="X5" s="197"/>
      <c r="Y5" s="193">
        <v>0</v>
      </c>
      <c r="Z5" s="198">
        <v>0</v>
      </c>
      <c r="AA5" s="198">
        <v>0</v>
      </c>
      <c r="AB5" s="198">
        <v>0</v>
      </c>
      <c r="AC5" s="198">
        <v>0</v>
      </c>
      <c r="AD5" s="236" t="s">
        <v>15</v>
      </c>
      <c r="AE5" s="198">
        <v>0</v>
      </c>
      <c r="AF5" s="198">
        <v>0</v>
      </c>
      <c r="AG5" s="198">
        <v>0</v>
      </c>
      <c r="AH5" s="198">
        <v>0</v>
      </c>
      <c r="AI5" s="198">
        <v>0</v>
      </c>
      <c r="AJ5" s="236" t="s">
        <v>15</v>
      </c>
      <c r="AK5" s="277">
        <v>0</v>
      </c>
      <c r="AL5" s="303">
        <v>0</v>
      </c>
      <c r="AM5" s="303">
        <v>0</v>
      </c>
      <c r="AN5" s="303">
        <v>0</v>
      </c>
      <c r="AO5" s="303">
        <v>0</v>
      </c>
      <c r="AP5" s="440" t="s">
        <v>15</v>
      </c>
      <c r="AQ5" s="303">
        <v>0</v>
      </c>
      <c r="AR5" s="303">
        <v>0</v>
      </c>
      <c r="AS5" s="303">
        <v>0</v>
      </c>
      <c r="AT5" s="303">
        <v>0</v>
      </c>
      <c r="AU5" s="303">
        <v>0</v>
      </c>
      <c r="AV5" s="440" t="s">
        <v>15</v>
      </c>
      <c r="AW5" s="303">
        <v>0</v>
      </c>
      <c r="AX5" s="303">
        <v>0</v>
      </c>
      <c r="AY5" s="458">
        <v>0</v>
      </c>
      <c r="AZ5" s="459" t="s">
        <v>15</v>
      </c>
    </row>
    <row r="6" spans="1:52" ht="12.75">
      <c r="A6" s="637" t="s">
        <v>356</v>
      </c>
      <c r="B6" s="233">
        <v>12.2</v>
      </c>
      <c r="C6" s="192"/>
      <c r="D6" s="193">
        <v>3.3</v>
      </c>
      <c r="E6" s="206">
        <v>3.4</v>
      </c>
      <c r="F6" s="206">
        <v>3.5</v>
      </c>
      <c r="G6" s="206">
        <v>2.8</v>
      </c>
      <c r="H6" s="206">
        <v>13.1</v>
      </c>
      <c r="I6" s="207">
        <f t="shared" si="0"/>
        <v>0.07377049180327866</v>
      </c>
      <c r="J6" s="195"/>
      <c r="K6" s="193">
        <v>3</v>
      </c>
      <c r="L6" s="206">
        <v>3.3</v>
      </c>
      <c r="M6" s="206">
        <v>3.2</v>
      </c>
      <c r="N6" s="206">
        <v>3.4</v>
      </c>
      <c r="O6" s="206">
        <v>12.9</v>
      </c>
      <c r="P6" s="234">
        <f t="shared" si="1"/>
        <v>-0.015267175572518998</v>
      </c>
      <c r="Q6" s="196"/>
      <c r="R6" s="193">
        <v>3.23</v>
      </c>
      <c r="S6" s="206">
        <v>3.3</v>
      </c>
      <c r="T6" s="206">
        <v>3.5</v>
      </c>
      <c r="U6" s="206">
        <v>3</v>
      </c>
      <c r="V6" s="206">
        <v>13.2</v>
      </c>
      <c r="W6" s="235">
        <f>V6/O6-1</f>
        <v>0.02325581395348819</v>
      </c>
      <c r="X6" s="197"/>
      <c r="Y6" s="193">
        <v>4.3</v>
      </c>
      <c r="Z6" s="198">
        <v>3.6</v>
      </c>
      <c r="AA6" s="198">
        <v>4.2</v>
      </c>
      <c r="AB6" s="198">
        <v>3.8</v>
      </c>
      <c r="AC6" s="198">
        <v>16</v>
      </c>
      <c r="AD6" s="235">
        <f t="shared" si="2"/>
        <v>0.21212121212121215</v>
      </c>
      <c r="AE6" s="198">
        <v>1.1</v>
      </c>
      <c r="AF6" s="198">
        <v>0.9</v>
      </c>
      <c r="AG6" s="198">
        <v>1.1</v>
      </c>
      <c r="AH6" s="198">
        <v>0.8</v>
      </c>
      <c r="AI6" s="198">
        <v>3.9</v>
      </c>
      <c r="AJ6" s="235">
        <f>AI6/AC6-1</f>
        <v>-0.75625</v>
      </c>
      <c r="AK6" s="277">
        <v>1.3</v>
      </c>
      <c r="AL6" s="302">
        <v>1.3</v>
      </c>
      <c r="AM6" s="302">
        <v>0.7</v>
      </c>
      <c r="AN6" s="302">
        <v>0.9</v>
      </c>
      <c r="AO6" s="302">
        <v>4.2</v>
      </c>
      <c r="AP6" s="440">
        <f t="shared" si="3"/>
        <v>0.0769230769230771</v>
      </c>
      <c r="AQ6" s="302">
        <v>0.7</v>
      </c>
      <c r="AR6" s="302">
        <v>0.8</v>
      </c>
      <c r="AS6" s="302">
        <v>0.7</v>
      </c>
      <c r="AT6" s="302">
        <v>0.77</v>
      </c>
      <c r="AU6" s="303">
        <v>3</v>
      </c>
      <c r="AV6" s="440">
        <f t="shared" si="4"/>
        <v>-0.2857142857142857</v>
      </c>
      <c r="AW6" s="303">
        <v>0.772</v>
      </c>
      <c r="AX6" s="303">
        <v>0.686</v>
      </c>
      <c r="AY6" s="458">
        <v>0.9</v>
      </c>
      <c r="AZ6" s="459">
        <f t="shared" si="5"/>
        <v>0.2857142857142858</v>
      </c>
    </row>
    <row r="7" spans="1:52" s="248" customFormat="1" ht="12.75">
      <c r="A7" s="638" t="s">
        <v>357</v>
      </c>
      <c r="B7" s="237">
        <v>571.4</v>
      </c>
      <c r="C7" s="238"/>
      <c r="D7" s="239" t="s">
        <v>25</v>
      </c>
      <c r="E7" s="240">
        <v>135.6</v>
      </c>
      <c r="F7" s="240">
        <v>130.1</v>
      </c>
      <c r="G7" s="240">
        <v>139.2</v>
      </c>
      <c r="H7" s="240">
        <f>SUM(H3:H6)</f>
        <v>559.8000000000001</v>
      </c>
      <c r="I7" s="241">
        <f t="shared" si="0"/>
        <v>-0.020301015050752325</v>
      </c>
      <c r="J7" s="242"/>
      <c r="K7" s="239">
        <v>119.3</v>
      </c>
      <c r="L7" s="240">
        <f>SUM(L3:L6)</f>
        <v>125.49999999999999</v>
      </c>
      <c r="M7" s="240">
        <f>SUM(M3:M6)</f>
        <v>120.722</v>
      </c>
      <c r="N7" s="240">
        <f>ROUND(SUM(N3:N6),2)</f>
        <v>140.5</v>
      </c>
      <c r="O7" s="240">
        <f>SUM(O3:O6)</f>
        <v>505.99999999999994</v>
      </c>
      <c r="P7" s="243">
        <f t="shared" si="1"/>
        <v>-0.09610575205430527</v>
      </c>
      <c r="Q7" s="244"/>
      <c r="R7" s="239">
        <f>SUM(R3:R6)</f>
        <v>102.476</v>
      </c>
      <c r="S7" s="240">
        <f>SUM(S3:S6)</f>
        <v>127.1</v>
      </c>
      <c r="T7" s="240">
        <f>SUM(T3:T6)</f>
        <v>137.1</v>
      </c>
      <c r="U7" s="240">
        <f>SUM(U3:U6)</f>
        <v>147.7</v>
      </c>
      <c r="V7" s="240">
        <v>514.4</v>
      </c>
      <c r="W7" s="245">
        <f>V7/O7-1</f>
        <v>0.01660079051383412</v>
      </c>
      <c r="X7" s="246"/>
      <c r="Y7" s="239">
        <f>SUM(Y3:Y6)</f>
        <v>135.2</v>
      </c>
      <c r="Z7" s="247">
        <f>SUM(Z3:Z6)</f>
        <v>144.70000000000002</v>
      </c>
      <c r="AA7" s="247">
        <f>SUM(AA3:AA6)</f>
        <v>134.79999999999998</v>
      </c>
      <c r="AB7" s="247">
        <f>SUM(AB3:AB6)</f>
        <v>142.3</v>
      </c>
      <c r="AC7" s="247">
        <f>SUM(AC3:AC6)</f>
        <v>557</v>
      </c>
      <c r="AD7" s="245">
        <f t="shared" si="2"/>
        <v>0.08281493001555207</v>
      </c>
      <c r="AE7" s="247">
        <f>SUM(AE3:AE6)</f>
        <v>132.1</v>
      </c>
      <c r="AF7" s="247">
        <f>SUM(AF3:AF6)</f>
        <v>144.8</v>
      </c>
      <c r="AG7" s="247">
        <f>SUM(AG3:AG6)</f>
        <v>127.89999999999999</v>
      </c>
      <c r="AH7" s="247">
        <f>SUM(AH3:AH6)</f>
        <v>156.10000000000002</v>
      </c>
      <c r="AI7" s="247">
        <v>561</v>
      </c>
      <c r="AJ7" s="245">
        <f>AI7/AC7-1</f>
        <v>0.007181328545780907</v>
      </c>
      <c r="AK7" s="278">
        <v>136.6</v>
      </c>
      <c r="AL7" s="304">
        <v>148.4</v>
      </c>
      <c r="AM7" s="304">
        <v>132.1</v>
      </c>
      <c r="AN7" s="304">
        <v>144.4</v>
      </c>
      <c r="AO7" s="304">
        <v>561.5</v>
      </c>
      <c r="AP7" s="441">
        <f t="shared" si="3"/>
        <v>0.0008912655971480277</v>
      </c>
      <c r="AQ7" s="304">
        <v>143.2</v>
      </c>
      <c r="AR7" s="304">
        <v>149.5</v>
      </c>
      <c r="AS7" s="304">
        <v>137.1</v>
      </c>
      <c r="AT7" s="304">
        <v>135.144</v>
      </c>
      <c r="AU7" s="444">
        <f>AU3+AU4+AU5+AU6</f>
        <v>565</v>
      </c>
      <c r="AV7" s="441">
        <f t="shared" si="4"/>
        <v>0.006233303650934996</v>
      </c>
      <c r="AW7" s="444">
        <f>AW3+AW4+AW5+AW6</f>
        <v>156.914</v>
      </c>
      <c r="AX7" s="444">
        <v>146.994</v>
      </c>
      <c r="AY7" s="460">
        <v>140.6</v>
      </c>
      <c r="AZ7" s="461">
        <f t="shared" si="5"/>
        <v>0.025528811086797942</v>
      </c>
    </row>
    <row r="8" spans="1:52" ht="12.75">
      <c r="A8" s="624" t="s">
        <v>282</v>
      </c>
      <c r="B8" s="249">
        <v>1245</v>
      </c>
      <c r="C8" s="192"/>
      <c r="D8" s="193">
        <v>216.4</v>
      </c>
      <c r="E8" s="206">
        <v>328.1</v>
      </c>
      <c r="F8" s="206">
        <v>301.2</v>
      </c>
      <c r="G8" s="206">
        <v>343</v>
      </c>
      <c r="H8" s="249">
        <v>1188.7</v>
      </c>
      <c r="I8" s="207">
        <f t="shared" si="0"/>
        <v>-0.04522088353413656</v>
      </c>
      <c r="J8" s="195"/>
      <c r="K8" s="193">
        <v>247</v>
      </c>
      <c r="L8" s="206">
        <v>308</v>
      </c>
      <c r="M8" s="206">
        <v>258</v>
      </c>
      <c r="N8" s="206">
        <v>372</v>
      </c>
      <c r="O8" s="206">
        <v>1185</v>
      </c>
      <c r="P8" s="234">
        <f t="shared" si="1"/>
        <v>-0.003112644064944936</v>
      </c>
      <c r="Q8" s="196"/>
      <c r="R8" s="193">
        <v>207</v>
      </c>
      <c r="S8" s="206">
        <v>245</v>
      </c>
      <c r="T8" s="206">
        <v>349.9</v>
      </c>
      <c r="U8" s="206">
        <v>344.8</v>
      </c>
      <c r="V8" s="206">
        <v>1146.8</v>
      </c>
      <c r="W8" s="235">
        <f>V8/O8-1</f>
        <v>-0.03223628691983127</v>
      </c>
      <c r="X8" s="197"/>
      <c r="Y8" s="193">
        <v>325.3</v>
      </c>
      <c r="Z8" s="198">
        <v>380.5</v>
      </c>
      <c r="AA8" s="198">
        <v>323.3</v>
      </c>
      <c r="AB8" s="198">
        <v>363.7</v>
      </c>
      <c r="AC8" s="250">
        <v>1393</v>
      </c>
      <c r="AD8" s="235">
        <f t="shared" si="2"/>
        <v>0.21468433903034545</v>
      </c>
      <c r="AE8" s="198">
        <v>345.3</v>
      </c>
      <c r="AF8" s="198">
        <v>364</v>
      </c>
      <c r="AG8" s="198">
        <v>280.7</v>
      </c>
      <c r="AH8" s="198">
        <v>379</v>
      </c>
      <c r="AI8" s="250">
        <v>1369</v>
      </c>
      <c r="AJ8" s="235">
        <f>AI8/AC8-1</f>
        <v>-0.017229002153625217</v>
      </c>
      <c r="AK8" s="277">
        <v>278.8</v>
      </c>
      <c r="AL8" s="302">
        <v>340.4</v>
      </c>
      <c r="AM8" s="302">
        <v>331.4</v>
      </c>
      <c r="AN8" s="302">
        <v>298.4</v>
      </c>
      <c r="AO8" s="250">
        <v>1248.9</v>
      </c>
      <c r="AP8" s="440">
        <f t="shared" si="3"/>
        <v>-0.08772826880934981</v>
      </c>
      <c r="AQ8" s="302">
        <v>380.5</v>
      </c>
      <c r="AR8" s="302">
        <v>333.1</v>
      </c>
      <c r="AS8" s="303">
        <v>323.821</v>
      </c>
      <c r="AT8" s="303">
        <v>300.919</v>
      </c>
      <c r="AU8" s="250">
        <v>1338.3</v>
      </c>
      <c r="AV8" s="440">
        <f t="shared" si="4"/>
        <v>0.07158299303386961</v>
      </c>
      <c r="AW8" s="250">
        <v>372.156</v>
      </c>
      <c r="AX8" s="250">
        <v>311.214</v>
      </c>
      <c r="AY8" s="458">
        <v>357.3</v>
      </c>
      <c r="AZ8" s="459">
        <f t="shared" si="5"/>
        <v>0.10338736524190839</v>
      </c>
    </row>
    <row r="9" spans="1:52" ht="12.75">
      <c r="A9" s="624" t="s">
        <v>358</v>
      </c>
      <c r="B9" s="233">
        <v>0</v>
      </c>
      <c r="C9" s="192"/>
      <c r="D9" s="193" t="s">
        <v>34</v>
      </c>
      <c r="E9" s="206" t="s">
        <v>34</v>
      </c>
      <c r="F9" s="206" t="s">
        <v>34</v>
      </c>
      <c r="G9" s="206" t="s">
        <v>34</v>
      </c>
      <c r="H9" s="206">
        <v>91</v>
      </c>
      <c r="I9" s="207" t="s">
        <v>33</v>
      </c>
      <c r="J9" s="195"/>
      <c r="K9" s="193">
        <v>0</v>
      </c>
      <c r="L9" s="206">
        <v>0</v>
      </c>
      <c r="M9" s="206">
        <v>0</v>
      </c>
      <c r="N9" s="206">
        <v>0</v>
      </c>
      <c r="O9" s="206">
        <v>0</v>
      </c>
      <c r="P9" s="234" t="s">
        <v>33</v>
      </c>
      <c r="Q9" s="196"/>
      <c r="R9" s="193">
        <v>0</v>
      </c>
      <c r="S9" s="206">
        <v>33.8</v>
      </c>
      <c r="T9" s="206">
        <v>33.2</v>
      </c>
      <c r="U9" s="206">
        <v>13.5</v>
      </c>
      <c r="V9" s="206">
        <v>80.6</v>
      </c>
      <c r="W9" s="235" t="s">
        <v>34</v>
      </c>
      <c r="X9" s="197"/>
      <c r="Y9" s="193">
        <v>0</v>
      </c>
      <c r="Z9" s="198">
        <v>0</v>
      </c>
      <c r="AA9" s="198">
        <v>0</v>
      </c>
      <c r="AB9" s="198">
        <v>0</v>
      </c>
      <c r="AC9" s="198">
        <v>0</v>
      </c>
      <c r="AD9" s="236" t="s">
        <v>15</v>
      </c>
      <c r="AE9" s="198">
        <v>0</v>
      </c>
      <c r="AF9" s="198">
        <v>0</v>
      </c>
      <c r="AG9" s="198">
        <v>0</v>
      </c>
      <c r="AH9" s="198">
        <v>0</v>
      </c>
      <c r="AI9" s="198">
        <v>0</v>
      </c>
      <c r="AJ9" s="236" t="s">
        <v>15</v>
      </c>
      <c r="AK9" s="277">
        <v>0</v>
      </c>
      <c r="AL9" s="303">
        <v>0</v>
      </c>
      <c r="AM9" s="303">
        <v>0</v>
      </c>
      <c r="AN9" s="303">
        <v>0</v>
      </c>
      <c r="AO9" s="303">
        <v>0</v>
      </c>
      <c r="AP9" s="440" t="s">
        <v>15</v>
      </c>
      <c r="AQ9" s="303">
        <v>0</v>
      </c>
      <c r="AR9" s="303">
        <v>0</v>
      </c>
      <c r="AS9" s="303">
        <v>0</v>
      </c>
      <c r="AT9" s="303">
        <v>0</v>
      </c>
      <c r="AU9" s="303">
        <v>0</v>
      </c>
      <c r="AV9" s="440" t="s">
        <v>15</v>
      </c>
      <c r="AW9" s="303">
        <v>0</v>
      </c>
      <c r="AX9" s="303">
        <v>0</v>
      </c>
      <c r="AY9" s="458">
        <v>0</v>
      </c>
      <c r="AZ9" s="459" t="s">
        <v>15</v>
      </c>
    </row>
    <row r="10" spans="1:52" ht="12.75">
      <c r="A10" s="624" t="s">
        <v>359</v>
      </c>
      <c r="B10" s="249">
        <v>2660</v>
      </c>
      <c r="C10" s="192"/>
      <c r="D10" s="193">
        <v>857</v>
      </c>
      <c r="E10" s="206">
        <v>751</v>
      </c>
      <c r="F10" s="249">
        <v>1032</v>
      </c>
      <c r="G10" s="206">
        <v>859</v>
      </c>
      <c r="H10" s="249">
        <v>3499</v>
      </c>
      <c r="I10" s="207">
        <f t="shared" si="0"/>
        <v>0.3154135338345865</v>
      </c>
      <c r="J10" s="195"/>
      <c r="K10" s="193">
        <v>960</v>
      </c>
      <c r="L10" s="206">
        <v>865</v>
      </c>
      <c r="M10" s="206">
        <v>908</v>
      </c>
      <c r="N10" s="206">
        <v>909</v>
      </c>
      <c r="O10" s="250">
        <f>SUM(K10:N10)</f>
        <v>3642</v>
      </c>
      <c r="P10" s="234">
        <f t="shared" si="1"/>
        <v>0.04086881966276068</v>
      </c>
      <c r="Q10" s="196"/>
      <c r="R10" s="193">
        <v>631.2</v>
      </c>
      <c r="S10" s="206">
        <v>589</v>
      </c>
      <c r="T10" s="206">
        <v>708</v>
      </c>
      <c r="U10" s="206">
        <v>679</v>
      </c>
      <c r="V10" s="249">
        <v>2607</v>
      </c>
      <c r="W10" s="235">
        <f>V10/O10-1</f>
        <v>-0.2841845140032949</v>
      </c>
      <c r="X10" s="197"/>
      <c r="Y10" s="193">
        <v>631</v>
      </c>
      <c r="Z10" s="198">
        <v>945</v>
      </c>
      <c r="AA10" s="198">
        <v>560</v>
      </c>
      <c r="AB10" s="250">
        <v>1017</v>
      </c>
      <c r="AC10" s="250">
        <v>3154</v>
      </c>
      <c r="AD10" s="235">
        <f t="shared" si="2"/>
        <v>0.20981971614883</v>
      </c>
      <c r="AE10" s="198">
        <v>946</v>
      </c>
      <c r="AF10" s="198">
        <v>615</v>
      </c>
      <c r="AG10" s="198">
        <v>532</v>
      </c>
      <c r="AH10" s="250">
        <v>1021</v>
      </c>
      <c r="AI10" s="250">
        <v>3115</v>
      </c>
      <c r="AJ10" s="235">
        <f>AI10/AC10-1</f>
        <v>-0.012365250475586564</v>
      </c>
      <c r="AK10" s="277">
        <v>580</v>
      </c>
      <c r="AL10" s="303">
        <v>604</v>
      </c>
      <c r="AM10" s="303">
        <v>636.3</v>
      </c>
      <c r="AN10" s="303">
        <v>605.63</v>
      </c>
      <c r="AO10" s="250">
        <v>2426</v>
      </c>
      <c r="AP10" s="440">
        <f t="shared" si="3"/>
        <v>-0.22118780096308188</v>
      </c>
      <c r="AQ10" s="303">
        <v>756</v>
      </c>
      <c r="AR10" s="303">
        <v>544</v>
      </c>
      <c r="AS10" s="303">
        <v>689.5</v>
      </c>
      <c r="AT10" s="303">
        <v>512.54</v>
      </c>
      <c r="AU10" s="250">
        <v>2502</v>
      </c>
      <c r="AV10" s="440">
        <f t="shared" si="4"/>
        <v>0.031327287716405694</v>
      </c>
      <c r="AW10" s="250">
        <v>1242.27</v>
      </c>
      <c r="AX10" s="250">
        <v>828.6</v>
      </c>
      <c r="AY10" s="458">
        <v>894.9</v>
      </c>
      <c r="AZ10" s="459">
        <f t="shared" si="5"/>
        <v>0.297897026831037</v>
      </c>
    </row>
    <row r="11" spans="1:52" ht="12.75">
      <c r="A11" s="624" t="s">
        <v>284</v>
      </c>
      <c r="B11" s="233">
        <v>30.4</v>
      </c>
      <c r="C11" s="192"/>
      <c r="D11" s="193">
        <v>7.4</v>
      </c>
      <c r="E11" s="206">
        <v>8.2</v>
      </c>
      <c r="F11" s="206">
        <v>6.2</v>
      </c>
      <c r="G11" s="206">
        <v>7.8</v>
      </c>
      <c r="H11" s="206">
        <v>29.7</v>
      </c>
      <c r="I11" s="207">
        <f t="shared" si="0"/>
        <v>-0.023026315789473673</v>
      </c>
      <c r="J11" s="195"/>
      <c r="K11" s="193">
        <v>7.6</v>
      </c>
      <c r="L11" s="206">
        <v>7</v>
      </c>
      <c r="M11" s="206">
        <v>7.5</v>
      </c>
      <c r="N11" s="206">
        <v>7.5</v>
      </c>
      <c r="O11" s="206">
        <v>29.6</v>
      </c>
      <c r="P11" s="234">
        <f t="shared" si="1"/>
        <v>-0.0033670033670032407</v>
      </c>
      <c r="Q11" s="196"/>
      <c r="R11" s="193">
        <v>7.4</v>
      </c>
      <c r="S11" s="206">
        <v>6.7</v>
      </c>
      <c r="T11" s="206">
        <v>7.8</v>
      </c>
      <c r="U11" s="206">
        <v>8.6</v>
      </c>
      <c r="V11" s="206">
        <v>30.5</v>
      </c>
      <c r="W11" s="235">
        <f>V11/O11-1</f>
        <v>0.03040540540540526</v>
      </c>
      <c r="X11" s="197"/>
      <c r="Y11" s="193">
        <v>7.8</v>
      </c>
      <c r="Z11" s="198">
        <v>7.2</v>
      </c>
      <c r="AA11" s="198">
        <v>6.6</v>
      </c>
      <c r="AB11" s="198">
        <v>8.3</v>
      </c>
      <c r="AC11" s="198">
        <v>30</v>
      </c>
      <c r="AD11" s="235">
        <f>AC11/V11-1</f>
        <v>-0.016393442622950838</v>
      </c>
      <c r="AE11" s="198">
        <v>7.4</v>
      </c>
      <c r="AF11" s="198">
        <v>7.2</v>
      </c>
      <c r="AG11" s="198">
        <v>6.7</v>
      </c>
      <c r="AH11" s="198">
        <v>7.7</v>
      </c>
      <c r="AI11" s="198">
        <v>29</v>
      </c>
      <c r="AJ11" s="235">
        <f>AI11/AC11-1</f>
        <v>-0.033333333333333326</v>
      </c>
      <c r="AK11" s="277">
        <v>8.3</v>
      </c>
      <c r="AL11" s="302">
        <v>8.2</v>
      </c>
      <c r="AM11" s="302">
        <v>6.3</v>
      </c>
      <c r="AN11" s="302">
        <v>7.8</v>
      </c>
      <c r="AO11" s="302">
        <v>30.7</v>
      </c>
      <c r="AP11" s="440">
        <f t="shared" si="3"/>
        <v>0.05862068965517242</v>
      </c>
      <c r="AQ11" s="303">
        <v>7</v>
      </c>
      <c r="AR11" s="303">
        <v>8</v>
      </c>
      <c r="AS11" s="303">
        <v>6.685</v>
      </c>
      <c r="AT11" s="303">
        <v>7.525</v>
      </c>
      <c r="AU11" s="303">
        <v>29.298</v>
      </c>
      <c r="AV11" s="440">
        <f t="shared" si="4"/>
        <v>-0.04566775244299681</v>
      </c>
      <c r="AW11" s="303">
        <v>6.771</v>
      </c>
      <c r="AX11" s="303">
        <v>6.9016</v>
      </c>
      <c r="AY11" s="458">
        <v>5.2</v>
      </c>
      <c r="AZ11" s="459">
        <f t="shared" si="5"/>
        <v>-0.22213911742707548</v>
      </c>
    </row>
    <row r="12" spans="1:52" s="229" customFormat="1" ht="16.5" customHeight="1">
      <c r="A12" s="639" t="s">
        <v>285</v>
      </c>
      <c r="B12" s="206"/>
      <c r="C12" s="204"/>
      <c r="D12" s="206"/>
      <c r="E12" s="206"/>
      <c r="F12" s="206"/>
      <c r="G12" s="206"/>
      <c r="H12" s="206"/>
      <c r="I12" s="235"/>
      <c r="J12" s="197"/>
      <c r="K12" s="206"/>
      <c r="L12" s="206"/>
      <c r="M12" s="206"/>
      <c r="N12" s="206"/>
      <c r="O12" s="206"/>
      <c r="P12" s="234"/>
      <c r="Q12" s="196"/>
      <c r="R12" s="206"/>
      <c r="S12" s="206"/>
      <c r="T12" s="206"/>
      <c r="U12" s="206"/>
      <c r="V12" s="206"/>
      <c r="W12" s="235"/>
      <c r="X12" s="197"/>
      <c r="Y12" s="206"/>
      <c r="Z12" s="198"/>
      <c r="AA12" s="188"/>
      <c r="AB12" s="188"/>
      <c r="AC12" s="188"/>
      <c r="AD12" s="251"/>
      <c r="AE12" s="198"/>
      <c r="AF12" s="198"/>
      <c r="AG12" s="198"/>
      <c r="AH12" s="198"/>
      <c r="AI12" s="198"/>
      <c r="AJ12" s="251"/>
      <c r="AK12" s="277"/>
      <c r="AL12" s="293"/>
      <c r="AM12" s="293"/>
      <c r="AN12" s="293"/>
      <c r="AO12" s="293"/>
      <c r="AP12" s="440"/>
      <c r="AQ12" s="293"/>
      <c r="AR12" s="293"/>
      <c r="AS12" s="293"/>
      <c r="AT12" s="293"/>
      <c r="AU12" s="293"/>
      <c r="AV12" s="440"/>
      <c r="AW12" s="293"/>
      <c r="AX12" s="293"/>
      <c r="AY12" s="293"/>
      <c r="AZ12" s="293"/>
    </row>
    <row r="13" spans="1:53" ht="12.75">
      <c r="A13" s="624" t="s">
        <v>286</v>
      </c>
      <c r="B13" s="233">
        <v>98.9</v>
      </c>
      <c r="C13" s="192"/>
      <c r="D13" s="193">
        <v>22.6</v>
      </c>
      <c r="E13" s="206">
        <v>22</v>
      </c>
      <c r="F13" s="206">
        <v>21.1</v>
      </c>
      <c r="G13" s="206">
        <v>24.6</v>
      </c>
      <c r="H13" s="206">
        <v>90.2</v>
      </c>
      <c r="I13" s="207">
        <f>H13/B13-1</f>
        <v>-0.0879676440849343</v>
      </c>
      <c r="J13" s="195"/>
      <c r="K13" s="193">
        <v>17.2</v>
      </c>
      <c r="L13" s="206">
        <v>19.2</v>
      </c>
      <c r="M13" s="206">
        <v>18.2</v>
      </c>
      <c r="N13" s="206">
        <v>25.4</v>
      </c>
      <c r="O13" s="206">
        <f>SUM(K13:N13)</f>
        <v>80</v>
      </c>
      <c r="P13" s="234">
        <f>O13/H13-1</f>
        <v>-0.11308203991130827</v>
      </c>
      <c r="Q13" s="196"/>
      <c r="R13" s="193">
        <v>17.3</v>
      </c>
      <c r="S13" s="206">
        <v>21.1</v>
      </c>
      <c r="T13" s="206">
        <v>18.3</v>
      </c>
      <c r="U13" s="206">
        <v>21.3</v>
      </c>
      <c r="V13" s="206">
        <v>78</v>
      </c>
      <c r="W13" s="235">
        <f>V13/O13-1</f>
        <v>-0.025000000000000022</v>
      </c>
      <c r="X13" s="197"/>
      <c r="Y13" s="193">
        <v>18</v>
      </c>
      <c r="Z13" s="198">
        <v>18.5</v>
      </c>
      <c r="AA13" s="198">
        <v>16.9</v>
      </c>
      <c r="AB13" s="198">
        <v>20.7</v>
      </c>
      <c r="AC13" s="198">
        <v>74.1</v>
      </c>
      <c r="AD13" s="235">
        <f aca="true" t="shared" si="6" ref="AD13:AD18">AC13/V13-1</f>
        <v>-0.050000000000000044</v>
      </c>
      <c r="AE13" s="198">
        <v>18</v>
      </c>
      <c r="AF13" s="198">
        <v>17</v>
      </c>
      <c r="AG13" s="198">
        <v>19.2</v>
      </c>
      <c r="AH13" s="198">
        <v>17.7</v>
      </c>
      <c r="AI13" s="198">
        <v>71.9</v>
      </c>
      <c r="AJ13" s="235">
        <f>AI13/AC13-1</f>
        <v>-0.029689608636976894</v>
      </c>
      <c r="AK13" s="277">
        <v>17.4</v>
      </c>
      <c r="AL13" s="302">
        <v>13.7</v>
      </c>
      <c r="AM13" s="303">
        <v>20</v>
      </c>
      <c r="AN13" s="303">
        <v>15.1</v>
      </c>
      <c r="AO13" s="303">
        <v>66.19999999999999</v>
      </c>
      <c r="AP13" s="440">
        <f t="shared" si="3"/>
        <v>-0.07927677329624505</v>
      </c>
      <c r="AQ13" s="303">
        <v>14</v>
      </c>
      <c r="AR13" s="303">
        <v>14.2</v>
      </c>
      <c r="AS13" s="303">
        <v>11.3</v>
      </c>
      <c r="AT13" s="303">
        <v>15.3</v>
      </c>
      <c r="AU13" s="303">
        <v>54.8</v>
      </c>
      <c r="AV13" s="440">
        <f t="shared" si="4"/>
        <v>-0.17220543806646516</v>
      </c>
      <c r="AW13" s="303">
        <v>10.7</v>
      </c>
      <c r="AX13" s="303">
        <v>8.4</v>
      </c>
      <c r="AY13" s="458">
        <v>7.9</v>
      </c>
      <c r="AZ13" s="459">
        <f t="shared" si="5"/>
        <v>-0.3008849557522124</v>
      </c>
      <c r="BA13" s="432"/>
    </row>
    <row r="14" spans="1:52" ht="12.75">
      <c r="A14" s="624" t="s">
        <v>287</v>
      </c>
      <c r="B14" s="233">
        <v>2.2</v>
      </c>
      <c r="C14" s="192"/>
      <c r="D14" s="193">
        <v>0.5</v>
      </c>
      <c r="E14" s="206">
        <v>0.6</v>
      </c>
      <c r="F14" s="206">
        <v>0.5</v>
      </c>
      <c r="G14" s="206">
        <v>0.5</v>
      </c>
      <c r="H14" s="206">
        <v>2.1</v>
      </c>
      <c r="I14" s="207">
        <f>H14/B14-1</f>
        <v>-0.045454545454545525</v>
      </c>
      <c r="J14" s="195"/>
      <c r="K14" s="193">
        <v>0.3</v>
      </c>
      <c r="L14" s="206">
        <v>0.3</v>
      </c>
      <c r="M14" s="206">
        <v>0.2</v>
      </c>
      <c r="N14" s="206">
        <v>0.3</v>
      </c>
      <c r="O14" s="206">
        <f>SUM(K14:N14)</f>
        <v>1.1</v>
      </c>
      <c r="P14" s="234">
        <f>O14/H14-1</f>
        <v>-0.47619047619047616</v>
      </c>
      <c r="Q14" s="196"/>
      <c r="R14" s="193">
        <v>0.2</v>
      </c>
      <c r="S14" s="206">
        <v>0.2</v>
      </c>
      <c r="T14" s="206">
        <v>0.3</v>
      </c>
      <c r="U14" s="206">
        <v>0.2</v>
      </c>
      <c r="V14" s="206">
        <v>0.9</v>
      </c>
      <c r="W14" s="235">
        <f>V14/O14-1</f>
        <v>-0.18181818181818188</v>
      </c>
      <c r="X14" s="197"/>
      <c r="Y14" s="193">
        <v>0.3</v>
      </c>
      <c r="Z14" s="198">
        <v>0.1</v>
      </c>
      <c r="AA14" s="198">
        <v>0.1</v>
      </c>
      <c r="AB14" s="198">
        <v>0.2</v>
      </c>
      <c r="AC14" s="198">
        <v>0.7</v>
      </c>
      <c r="AD14" s="235">
        <f t="shared" si="6"/>
        <v>-0.22222222222222232</v>
      </c>
      <c r="AE14" s="198">
        <v>0.1</v>
      </c>
      <c r="AF14" s="198">
        <v>0.1</v>
      </c>
      <c r="AG14" s="198">
        <v>0.1</v>
      </c>
      <c r="AH14" s="198">
        <v>0.1</v>
      </c>
      <c r="AI14" s="198">
        <v>0.4</v>
      </c>
      <c r="AJ14" s="235">
        <f>AI14/AC14-1</f>
        <v>-0.4285714285714285</v>
      </c>
      <c r="AK14" s="277">
        <v>0.1</v>
      </c>
      <c r="AL14" s="302">
        <v>0.1</v>
      </c>
      <c r="AM14" s="303">
        <v>0.1</v>
      </c>
      <c r="AN14" s="303">
        <v>0.3</v>
      </c>
      <c r="AO14" s="303">
        <v>0.5</v>
      </c>
      <c r="AP14" s="440">
        <f t="shared" si="3"/>
        <v>0.25</v>
      </c>
      <c r="AQ14" s="303">
        <v>0.1</v>
      </c>
      <c r="AR14" s="303">
        <v>0.1</v>
      </c>
      <c r="AS14" s="303">
        <v>0.1</v>
      </c>
      <c r="AT14" s="303">
        <v>0.1</v>
      </c>
      <c r="AU14" s="303">
        <v>0.4</v>
      </c>
      <c r="AV14" s="440">
        <f t="shared" si="4"/>
        <v>-0.19999999999999996</v>
      </c>
      <c r="AW14" s="303">
        <v>0.1</v>
      </c>
      <c r="AX14" s="303">
        <v>0.2</v>
      </c>
      <c r="AY14" s="458">
        <v>0</v>
      </c>
      <c r="AZ14" s="459">
        <f t="shared" si="5"/>
        <v>-1</v>
      </c>
    </row>
    <row r="15" spans="1:53" ht="12.75">
      <c r="A15" s="624" t="s">
        <v>288</v>
      </c>
      <c r="B15" s="233">
        <v>97</v>
      </c>
      <c r="C15" s="192"/>
      <c r="D15" s="193">
        <v>23</v>
      </c>
      <c r="E15" s="206">
        <v>24.7</v>
      </c>
      <c r="F15" s="206">
        <v>21.7</v>
      </c>
      <c r="G15" s="206">
        <v>25</v>
      </c>
      <c r="H15" s="206">
        <v>94.3</v>
      </c>
      <c r="I15" s="207">
        <f>H15/B15-1</f>
        <v>-0.027835051546391765</v>
      </c>
      <c r="J15" s="195"/>
      <c r="K15" s="193">
        <v>13.8</v>
      </c>
      <c r="L15" s="206">
        <v>19.9</v>
      </c>
      <c r="M15" s="206">
        <v>17.1</v>
      </c>
      <c r="N15" s="206">
        <v>21.8</v>
      </c>
      <c r="O15" s="206">
        <f>SUM(K15:N15)</f>
        <v>72.60000000000001</v>
      </c>
      <c r="P15" s="234">
        <f>O15/H15-1</f>
        <v>-0.23011664899257678</v>
      </c>
      <c r="Q15" s="196"/>
      <c r="R15" s="193">
        <v>13.9</v>
      </c>
      <c r="S15" s="206">
        <v>17.7</v>
      </c>
      <c r="T15" s="206">
        <v>16.1</v>
      </c>
      <c r="U15" s="206">
        <v>18.3</v>
      </c>
      <c r="V15" s="206">
        <v>66</v>
      </c>
      <c r="W15" s="235">
        <f>V15/O15-1</f>
        <v>-0.09090909090909105</v>
      </c>
      <c r="X15" s="197"/>
      <c r="Y15" s="193">
        <v>17.2</v>
      </c>
      <c r="Z15" s="198">
        <v>17.9</v>
      </c>
      <c r="AA15" s="198">
        <v>18.4</v>
      </c>
      <c r="AB15" s="198">
        <v>24.2</v>
      </c>
      <c r="AC15" s="198">
        <v>77.7</v>
      </c>
      <c r="AD15" s="235">
        <f t="shared" si="6"/>
        <v>0.17727272727272725</v>
      </c>
      <c r="AE15" s="198">
        <v>21.2</v>
      </c>
      <c r="AF15" s="198">
        <v>19.9</v>
      </c>
      <c r="AG15" s="198">
        <v>17.5</v>
      </c>
      <c r="AH15" s="198">
        <v>12.7</v>
      </c>
      <c r="AI15" s="198">
        <v>71.3</v>
      </c>
      <c r="AJ15" s="235">
        <f>AI15/AC15-1</f>
        <v>-0.08236808236808246</v>
      </c>
      <c r="AK15" s="277">
        <v>12</v>
      </c>
      <c r="AL15" s="302">
        <v>10.6</v>
      </c>
      <c r="AM15" s="303">
        <v>14</v>
      </c>
      <c r="AN15" s="303">
        <v>10.1</v>
      </c>
      <c r="AO15" s="303">
        <v>46.7</v>
      </c>
      <c r="AP15" s="440">
        <f t="shared" si="3"/>
        <v>-0.34502103786816263</v>
      </c>
      <c r="AQ15" s="303">
        <v>11</v>
      </c>
      <c r="AR15" s="303">
        <v>15.9</v>
      </c>
      <c r="AS15" s="303">
        <v>11.5</v>
      </c>
      <c r="AT15" s="303">
        <v>16.8</v>
      </c>
      <c r="AU15" s="303">
        <v>55.2</v>
      </c>
      <c r="AV15" s="440">
        <f t="shared" si="4"/>
        <v>0.1820128479657388</v>
      </c>
      <c r="AW15" s="303">
        <v>12</v>
      </c>
      <c r="AX15" s="303">
        <v>9.7</v>
      </c>
      <c r="AY15" s="458">
        <v>6.8</v>
      </c>
      <c r="AZ15" s="459">
        <f t="shared" si="5"/>
        <v>-0.408695652173913</v>
      </c>
      <c r="BA15" s="442"/>
    </row>
    <row r="16" spans="1:52" s="229" customFormat="1" ht="16.5" customHeight="1">
      <c r="A16" s="639" t="s">
        <v>26</v>
      </c>
      <c r="B16" s="206"/>
      <c r="C16" s="204"/>
      <c r="D16" s="206"/>
      <c r="E16" s="206"/>
      <c r="F16" s="206"/>
      <c r="G16" s="206"/>
      <c r="H16" s="206"/>
      <c r="I16" s="207"/>
      <c r="J16" s="195"/>
      <c r="K16" s="206"/>
      <c r="L16" s="206"/>
      <c r="M16" s="206"/>
      <c r="N16" s="206"/>
      <c r="O16" s="206"/>
      <c r="P16" s="234"/>
      <c r="Q16" s="196"/>
      <c r="R16" s="206"/>
      <c r="S16" s="206"/>
      <c r="T16" s="206"/>
      <c r="U16" s="206"/>
      <c r="V16" s="206"/>
      <c r="W16" s="235"/>
      <c r="X16" s="197"/>
      <c r="Y16" s="206"/>
      <c r="Z16" s="198"/>
      <c r="AA16" s="188"/>
      <c r="AB16" s="198"/>
      <c r="AC16" s="198"/>
      <c r="AD16" s="252"/>
      <c r="AE16" s="198"/>
      <c r="AF16" s="198"/>
      <c r="AG16" s="198"/>
      <c r="AH16" s="198"/>
      <c r="AI16" s="198"/>
      <c r="AJ16" s="252"/>
      <c r="AK16" s="277"/>
      <c r="AL16" s="293"/>
      <c r="AM16" s="293"/>
      <c r="AN16" s="293"/>
      <c r="AO16" s="293"/>
      <c r="AP16" s="440"/>
      <c r="AQ16" s="293"/>
      <c r="AR16" s="293"/>
      <c r="AS16" s="293"/>
      <c r="AT16" s="293"/>
      <c r="AU16" s="293"/>
      <c r="AV16" s="440"/>
      <c r="AW16" s="293"/>
      <c r="AX16" s="293"/>
      <c r="AY16" s="293"/>
      <c r="AZ16" s="293"/>
    </row>
    <row r="17" spans="1:52" ht="12.75">
      <c r="A17" s="624" t="s">
        <v>286</v>
      </c>
      <c r="B17" s="233">
        <v>28.2</v>
      </c>
      <c r="C17" s="192"/>
      <c r="D17" s="193">
        <v>12.6</v>
      </c>
      <c r="E17" s="206">
        <v>11.4</v>
      </c>
      <c r="F17" s="206">
        <v>13.6</v>
      </c>
      <c r="G17" s="206">
        <v>14.4</v>
      </c>
      <c r="H17" s="206">
        <v>52</v>
      </c>
      <c r="I17" s="207">
        <f>H17/B17-1</f>
        <v>0.8439716312056738</v>
      </c>
      <c r="J17" s="195"/>
      <c r="K17" s="193">
        <v>14.5</v>
      </c>
      <c r="L17" s="206">
        <v>13</v>
      </c>
      <c r="M17" s="206">
        <v>13.6</v>
      </c>
      <c r="N17" s="206">
        <v>13</v>
      </c>
      <c r="O17" s="206">
        <f>SUM(K17:N17)</f>
        <v>54.1</v>
      </c>
      <c r="P17" s="234">
        <f>O17/H17-1</f>
        <v>0.04038461538461546</v>
      </c>
      <c r="Q17" s="196"/>
      <c r="R17" s="193">
        <v>12.6</v>
      </c>
      <c r="S17" s="206">
        <v>10</v>
      </c>
      <c r="T17" s="206">
        <v>13.9</v>
      </c>
      <c r="U17" s="206">
        <v>15.6</v>
      </c>
      <c r="V17" s="206">
        <v>52.1</v>
      </c>
      <c r="W17" s="235">
        <f>V17/O17-1</f>
        <v>-0.0369685767097967</v>
      </c>
      <c r="X17" s="197"/>
      <c r="Y17" s="193">
        <v>14.3</v>
      </c>
      <c r="Z17" s="198">
        <v>16.1</v>
      </c>
      <c r="AA17" s="198">
        <v>15.8</v>
      </c>
      <c r="AB17" s="198">
        <v>15.02</v>
      </c>
      <c r="AC17" s="198">
        <v>61.215</v>
      </c>
      <c r="AD17" s="235">
        <f t="shared" si="6"/>
        <v>0.1749520153550863</v>
      </c>
      <c r="AE17" s="198">
        <v>14.9</v>
      </c>
      <c r="AF17" s="198">
        <v>23.1</v>
      </c>
      <c r="AG17" s="198">
        <v>18.7</v>
      </c>
      <c r="AH17" s="198">
        <v>24.5</v>
      </c>
      <c r="AI17" s="198">
        <v>81.2</v>
      </c>
      <c r="AJ17" s="235">
        <f>AI17/AC17-1</f>
        <v>0.3264722698684963</v>
      </c>
      <c r="AK17" s="277">
        <v>21.7</v>
      </c>
      <c r="AL17" s="302">
        <v>27.1</v>
      </c>
      <c r="AM17" s="302">
        <v>27.9</v>
      </c>
      <c r="AN17" s="302">
        <v>25.7</v>
      </c>
      <c r="AO17" s="302">
        <v>102.4</v>
      </c>
      <c r="AP17" s="440">
        <f t="shared" si="3"/>
        <v>0.26108374384236455</v>
      </c>
      <c r="AQ17" s="302">
        <v>23.9</v>
      </c>
      <c r="AR17" s="302">
        <v>20.3</v>
      </c>
      <c r="AS17" s="302">
        <v>23.4</v>
      </c>
      <c r="AT17" s="302">
        <v>23.4</v>
      </c>
      <c r="AU17" s="302">
        <v>90.9</v>
      </c>
      <c r="AV17" s="440">
        <f t="shared" si="4"/>
        <v>-0.1123046875</v>
      </c>
      <c r="AW17" s="302">
        <v>18.9</v>
      </c>
      <c r="AX17" s="302">
        <v>21.9</v>
      </c>
      <c r="AY17" s="458">
        <v>18.7</v>
      </c>
      <c r="AZ17" s="459">
        <f t="shared" si="5"/>
        <v>-0.2008547008547008</v>
      </c>
    </row>
    <row r="18" spans="1:52" ht="12.75">
      <c r="A18" s="624" t="s">
        <v>289</v>
      </c>
      <c r="B18" s="233">
        <v>2.4</v>
      </c>
      <c r="C18" s="192"/>
      <c r="D18" s="193">
        <v>3.1</v>
      </c>
      <c r="E18" s="206">
        <v>4.8</v>
      </c>
      <c r="F18" s="206">
        <v>2</v>
      </c>
      <c r="G18" s="206">
        <v>3.4</v>
      </c>
      <c r="H18" s="206">
        <v>13.3</v>
      </c>
      <c r="I18" s="207">
        <f>H18/B18-1</f>
        <v>4.541666666666667</v>
      </c>
      <c r="J18" s="195"/>
      <c r="K18" s="193">
        <v>2.6</v>
      </c>
      <c r="L18" s="206">
        <v>4.6</v>
      </c>
      <c r="M18" s="206">
        <v>6</v>
      </c>
      <c r="N18" s="206">
        <v>6.2</v>
      </c>
      <c r="O18" s="206">
        <f>SUM(K18:N18)</f>
        <v>19.4</v>
      </c>
      <c r="P18" s="234">
        <v>0.47</v>
      </c>
      <c r="Q18" s="196"/>
      <c r="R18" s="193">
        <v>4.1</v>
      </c>
      <c r="S18" s="206">
        <v>4.2</v>
      </c>
      <c r="T18" s="206">
        <v>4.5</v>
      </c>
      <c r="U18" s="206">
        <v>4.1</v>
      </c>
      <c r="V18" s="206">
        <v>16.9</v>
      </c>
      <c r="W18" s="235">
        <f>V18/O18-1</f>
        <v>-0.12886597938144329</v>
      </c>
      <c r="X18" s="197"/>
      <c r="Y18" s="193">
        <v>3.4</v>
      </c>
      <c r="Z18" s="198">
        <v>2.4</v>
      </c>
      <c r="AA18" s="198">
        <v>3.2</v>
      </c>
      <c r="AB18" s="198">
        <v>2.695</v>
      </c>
      <c r="AC18" s="198">
        <v>11.7</v>
      </c>
      <c r="AD18" s="235">
        <f t="shared" si="6"/>
        <v>-0.3076923076923077</v>
      </c>
      <c r="AE18" s="198">
        <v>2.6</v>
      </c>
      <c r="AF18" s="198">
        <v>2</v>
      </c>
      <c r="AG18" s="198">
        <v>2.2</v>
      </c>
      <c r="AH18" s="198">
        <v>2.5</v>
      </c>
      <c r="AI18" s="198">
        <v>9.3</v>
      </c>
      <c r="AJ18" s="235">
        <f>AI18/AC18-1</f>
        <v>-0.20512820512820507</v>
      </c>
      <c r="AK18" s="277">
        <v>2.3</v>
      </c>
      <c r="AL18" s="302">
        <v>1.9</v>
      </c>
      <c r="AM18" s="302">
        <v>1.7</v>
      </c>
      <c r="AN18" s="302">
        <v>2.1</v>
      </c>
      <c r="AO18" s="303">
        <v>8</v>
      </c>
      <c r="AP18" s="440">
        <f t="shared" si="3"/>
        <v>-0.13978494623655924</v>
      </c>
      <c r="AQ18" s="303">
        <v>0.9</v>
      </c>
      <c r="AR18" s="303">
        <v>1.2</v>
      </c>
      <c r="AS18" s="303">
        <v>0.8</v>
      </c>
      <c r="AT18" s="303">
        <v>1.3</v>
      </c>
      <c r="AU18" s="303">
        <v>4.2</v>
      </c>
      <c r="AV18" s="440">
        <f t="shared" si="4"/>
        <v>-0.475</v>
      </c>
      <c r="AW18" s="303">
        <v>0.6</v>
      </c>
      <c r="AX18" s="303">
        <v>0.6</v>
      </c>
      <c r="AY18" s="458">
        <v>1</v>
      </c>
      <c r="AZ18" s="459">
        <f t="shared" si="5"/>
        <v>0.25</v>
      </c>
    </row>
    <row r="20" ht="22.5">
      <c r="A20" s="640" t="s">
        <v>360</v>
      </c>
    </row>
    <row r="21" ht="12.75">
      <c r="A21" s="625" t="s">
        <v>292</v>
      </c>
    </row>
    <row r="22" spans="1:5" ht="45">
      <c r="A22" s="640" t="s">
        <v>361</v>
      </c>
      <c r="B22" s="253"/>
      <c r="C22" s="253"/>
      <c r="D22" s="253"/>
      <c r="E22" s="25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4" r:id="rId1"/>
  <ignoredErrors>
    <ignoredError sqref="Y7 AD7 N7 AV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BR22"/>
  <sheetViews>
    <sheetView showGridLines="0" zoomScale="118" zoomScaleNormal="118" zoomScalePageLayoutView="0" workbookViewId="0" topLeftCell="A1">
      <pane xSplit="1" ySplit="1" topLeftCell="BG2" activePane="bottomRight" state="frozen"/>
      <selection pane="topLeft" activeCell="A1" sqref="A1"/>
      <selection pane="topRight" activeCell="B1" sqref="B1"/>
      <selection pane="bottomLeft" activeCell="A2" sqref="A2"/>
      <selection pane="bottomRight" activeCell="BJ28" sqref="BJ28"/>
    </sheetView>
  </sheetViews>
  <sheetFormatPr defaultColWidth="9.421875" defaultRowHeight="12.75"/>
  <cols>
    <col min="1" max="1" width="30.57421875" style="631" customWidth="1"/>
    <col min="2" max="34" width="6.57421875" style="219" customWidth="1"/>
    <col min="35" max="39" width="6.421875" style="219" customWidth="1"/>
    <col min="40" max="43" width="6.57421875" style="219" customWidth="1"/>
    <col min="44" max="46" width="8.00390625" style="219" customWidth="1"/>
    <col min="47" max="50" width="9.421875" style="219" customWidth="1"/>
    <col min="51" max="53" width="8.140625" style="219" customWidth="1"/>
    <col min="54" max="57" width="9.421875" style="219" customWidth="1"/>
    <col min="58" max="58" width="8.140625" style="219" customWidth="1"/>
    <col min="59" max="16384" width="9.421875" style="219" customWidth="1"/>
  </cols>
  <sheetData>
    <row r="1" spans="1:70" s="216" customFormat="1" ht="75.75" customHeight="1">
      <c r="A1" s="641" t="s">
        <v>370</v>
      </c>
      <c r="B1" s="633">
        <v>43101</v>
      </c>
      <c r="C1" s="633">
        <v>43132</v>
      </c>
      <c r="D1" s="633">
        <v>43160</v>
      </c>
      <c r="E1" s="633">
        <v>43191</v>
      </c>
      <c r="F1" s="633">
        <v>43221</v>
      </c>
      <c r="G1" s="633">
        <v>43252</v>
      </c>
      <c r="H1" s="633">
        <v>43282</v>
      </c>
      <c r="I1" s="633">
        <v>43313</v>
      </c>
      <c r="J1" s="633">
        <v>43344</v>
      </c>
      <c r="K1" s="633">
        <v>43374</v>
      </c>
      <c r="L1" s="633">
        <v>43405</v>
      </c>
      <c r="M1" s="633">
        <v>43435</v>
      </c>
      <c r="N1" s="633">
        <v>43466</v>
      </c>
      <c r="O1" s="633">
        <v>43497</v>
      </c>
      <c r="P1" s="633">
        <v>43525</v>
      </c>
      <c r="Q1" s="633">
        <v>43556</v>
      </c>
      <c r="R1" s="633">
        <v>43586</v>
      </c>
      <c r="S1" s="633">
        <v>43617</v>
      </c>
      <c r="T1" s="633">
        <v>43647</v>
      </c>
      <c r="U1" s="633">
        <v>43678</v>
      </c>
      <c r="V1" s="633">
        <v>43709</v>
      </c>
      <c r="W1" s="633">
        <v>43740</v>
      </c>
      <c r="X1" s="633" t="s">
        <v>310</v>
      </c>
      <c r="Y1" s="633" t="s">
        <v>311</v>
      </c>
      <c r="Z1" s="633" t="s">
        <v>312</v>
      </c>
      <c r="AA1" s="633">
        <v>43862</v>
      </c>
      <c r="AB1" s="633">
        <v>43891</v>
      </c>
      <c r="AC1" s="634" t="s">
        <v>313</v>
      </c>
      <c r="AD1" s="634" t="s">
        <v>314</v>
      </c>
      <c r="AE1" s="634" t="s">
        <v>315</v>
      </c>
      <c r="AF1" s="634" t="s">
        <v>316</v>
      </c>
      <c r="AG1" s="634" t="s">
        <v>317</v>
      </c>
      <c r="AH1" s="634" t="s">
        <v>318</v>
      </c>
      <c r="AI1" s="633" t="s">
        <v>319</v>
      </c>
      <c r="AJ1" s="633" t="s">
        <v>320</v>
      </c>
      <c r="AK1" s="633" t="s">
        <v>321</v>
      </c>
      <c r="AL1" s="633" t="s">
        <v>322</v>
      </c>
      <c r="AM1" s="633" t="s">
        <v>323</v>
      </c>
      <c r="AN1" s="633">
        <v>44256</v>
      </c>
      <c r="AO1" s="634" t="s">
        <v>324</v>
      </c>
      <c r="AP1" s="634" t="s">
        <v>325</v>
      </c>
      <c r="AQ1" s="634" t="s">
        <v>326</v>
      </c>
      <c r="AR1" s="634" t="s">
        <v>327</v>
      </c>
      <c r="AS1" s="634" t="s">
        <v>328</v>
      </c>
      <c r="AT1" s="634" t="s">
        <v>329</v>
      </c>
      <c r="AU1" s="634" t="s">
        <v>330</v>
      </c>
      <c r="AV1" s="634" t="s">
        <v>331</v>
      </c>
      <c r="AW1" s="634" t="s">
        <v>332</v>
      </c>
      <c r="AX1" s="634" t="s">
        <v>333</v>
      </c>
      <c r="AY1" s="634" t="s">
        <v>334</v>
      </c>
      <c r="AZ1" s="633">
        <v>44621</v>
      </c>
      <c r="BA1" s="634" t="s">
        <v>335</v>
      </c>
      <c r="BB1" s="634" t="s">
        <v>336</v>
      </c>
      <c r="BC1" s="634" t="s">
        <v>337</v>
      </c>
      <c r="BD1" s="634" t="s">
        <v>338</v>
      </c>
      <c r="BE1" s="634" t="s">
        <v>339</v>
      </c>
      <c r="BF1" s="634" t="s">
        <v>340</v>
      </c>
      <c r="BG1" s="634" t="s">
        <v>341</v>
      </c>
      <c r="BH1" s="634" t="s">
        <v>342</v>
      </c>
      <c r="BI1" s="634" t="s">
        <v>343</v>
      </c>
      <c r="BJ1" s="634" t="s">
        <v>344</v>
      </c>
      <c r="BK1" s="634" t="s">
        <v>345</v>
      </c>
      <c r="BL1" s="633">
        <v>44986</v>
      </c>
      <c r="BM1" s="633" t="s">
        <v>346</v>
      </c>
      <c r="BN1" s="634" t="s">
        <v>347</v>
      </c>
      <c r="BO1" s="634" t="s">
        <v>348</v>
      </c>
      <c r="BP1" s="262" t="s">
        <v>349</v>
      </c>
      <c r="BQ1" s="262" t="s">
        <v>350</v>
      </c>
      <c r="BR1" s="262" t="s">
        <v>351</v>
      </c>
    </row>
    <row r="2" spans="1:22" s="255" customFormat="1" ht="16.5" customHeight="1">
      <c r="A2" s="628" t="s">
        <v>304</v>
      </c>
      <c r="B2" s="213"/>
      <c r="C2" s="213"/>
      <c r="D2" s="213"/>
      <c r="E2" s="254"/>
      <c r="F2" s="254"/>
      <c r="G2" s="254"/>
      <c r="H2" s="254"/>
      <c r="I2" s="254"/>
      <c r="J2" s="254"/>
      <c r="K2" s="254"/>
      <c r="L2" s="254"/>
      <c r="M2" s="254"/>
      <c r="N2" s="254"/>
      <c r="O2" s="254"/>
      <c r="P2" s="254"/>
      <c r="Q2" s="254"/>
      <c r="R2" s="254"/>
      <c r="S2" s="254"/>
      <c r="T2" s="254"/>
      <c r="U2" s="254"/>
      <c r="V2" s="254"/>
    </row>
    <row r="3" spans="1:70" ht="12.75">
      <c r="A3" s="629" t="s">
        <v>371</v>
      </c>
      <c r="B3" s="217">
        <v>36.5</v>
      </c>
      <c r="C3" s="217">
        <v>43.5</v>
      </c>
      <c r="D3" s="217">
        <v>52.4</v>
      </c>
      <c r="E3" s="220">
        <v>48</v>
      </c>
      <c r="F3" s="217">
        <v>53.5</v>
      </c>
      <c r="G3" s="217">
        <v>60.4</v>
      </c>
      <c r="H3" s="217">
        <v>54.4</v>
      </c>
      <c r="I3" s="217">
        <v>54.6</v>
      </c>
      <c r="J3" s="217">
        <v>60.5</v>
      </c>
      <c r="K3" s="217">
        <v>61.9</v>
      </c>
      <c r="L3" s="217">
        <v>55.6</v>
      </c>
      <c r="M3" s="217">
        <v>67.2</v>
      </c>
      <c r="N3" s="217">
        <v>42.2</v>
      </c>
      <c r="O3" s="217">
        <v>60.9</v>
      </c>
      <c r="P3" s="217">
        <v>63.9</v>
      </c>
      <c r="Q3" s="218">
        <v>51.7</v>
      </c>
      <c r="R3" s="218">
        <v>63.6</v>
      </c>
      <c r="S3" s="198">
        <v>64</v>
      </c>
      <c r="T3" s="218">
        <v>47.6</v>
      </c>
      <c r="U3" s="218">
        <v>51.9</v>
      </c>
      <c r="V3" s="218">
        <v>67.4</v>
      </c>
      <c r="W3" s="218">
        <v>50.7</v>
      </c>
      <c r="X3" s="218">
        <v>65.7</v>
      </c>
      <c r="Y3" s="218">
        <v>61.9</v>
      </c>
      <c r="Z3" s="218">
        <v>46.8</v>
      </c>
      <c r="AA3" s="218">
        <v>60.9</v>
      </c>
      <c r="AB3" s="218">
        <v>57.4</v>
      </c>
      <c r="AC3" s="218">
        <v>55.7</v>
      </c>
      <c r="AD3" s="218">
        <v>61.8</v>
      </c>
      <c r="AE3" s="218">
        <v>67.4</v>
      </c>
      <c r="AF3" s="218">
        <v>54.5</v>
      </c>
      <c r="AG3" s="198">
        <v>58</v>
      </c>
      <c r="AH3" s="218">
        <v>53.3</v>
      </c>
      <c r="AI3" s="217">
        <v>57.1</v>
      </c>
      <c r="AJ3" s="217">
        <v>66.6</v>
      </c>
      <c r="AK3" s="217">
        <v>75.8</v>
      </c>
      <c r="AL3" s="217">
        <v>46.2</v>
      </c>
      <c r="AM3" s="217">
        <v>62.9</v>
      </c>
      <c r="AN3" s="217">
        <v>66.6</v>
      </c>
      <c r="AO3" s="217">
        <v>61.2</v>
      </c>
      <c r="AP3" s="217">
        <v>62.3</v>
      </c>
      <c r="AQ3" s="217">
        <v>65.7</v>
      </c>
      <c r="AR3" s="217">
        <v>57.7</v>
      </c>
      <c r="AS3" s="217">
        <v>56.1</v>
      </c>
      <c r="AT3" s="217">
        <v>66.2</v>
      </c>
      <c r="AU3" s="220">
        <v>58.1</v>
      </c>
      <c r="AV3" s="217">
        <v>68.7</v>
      </c>
      <c r="AW3" s="217">
        <v>58.4</v>
      </c>
      <c r="AX3" s="220">
        <v>59</v>
      </c>
      <c r="AY3" s="217">
        <v>55.9</v>
      </c>
      <c r="AZ3" s="217">
        <v>66.1</v>
      </c>
      <c r="BA3" s="220">
        <v>61.9</v>
      </c>
      <c r="BB3" s="217">
        <v>58.2</v>
      </c>
      <c r="BC3" s="217">
        <v>63.8</v>
      </c>
      <c r="BD3" s="217">
        <v>51.5</v>
      </c>
      <c r="BE3" s="217">
        <v>58.9</v>
      </c>
      <c r="BF3" s="217">
        <v>61.5</v>
      </c>
      <c r="BG3" s="217">
        <v>59.8</v>
      </c>
      <c r="BH3" s="217">
        <v>61.2</v>
      </c>
      <c r="BI3" s="217">
        <v>52.8</v>
      </c>
      <c r="BJ3" s="217">
        <v>58.2</v>
      </c>
      <c r="BK3" s="217">
        <v>62.1</v>
      </c>
      <c r="BL3" s="217">
        <v>66.1</v>
      </c>
      <c r="BM3" s="220">
        <v>57</v>
      </c>
      <c r="BN3" s="217">
        <v>55.6</v>
      </c>
      <c r="BO3" s="217">
        <v>64.7</v>
      </c>
      <c r="BP3" s="217">
        <v>51.2</v>
      </c>
      <c r="BQ3" s="217">
        <v>55.1</v>
      </c>
      <c r="BR3" s="217">
        <v>60.9</v>
      </c>
    </row>
    <row r="4" spans="1:70" ht="12.75">
      <c r="A4" s="629" t="s">
        <v>139</v>
      </c>
      <c r="B4" s="217">
        <v>64.3</v>
      </c>
      <c r="C4" s="217">
        <v>85.7</v>
      </c>
      <c r="D4" s="217">
        <v>63.2</v>
      </c>
      <c r="E4" s="217">
        <v>98.1</v>
      </c>
      <c r="F4" s="217">
        <v>101.5</v>
      </c>
      <c r="G4" s="217">
        <v>111.9</v>
      </c>
      <c r="H4" s="217">
        <v>115.4</v>
      </c>
      <c r="I4" s="217">
        <v>137.1</v>
      </c>
      <c r="J4" s="217">
        <v>135.9</v>
      </c>
      <c r="K4" s="217">
        <v>151.2</v>
      </c>
      <c r="L4" s="217">
        <v>111.4</v>
      </c>
      <c r="M4" s="217">
        <v>101.7</v>
      </c>
      <c r="N4" s="220">
        <v>84</v>
      </c>
      <c r="O4" s="217">
        <v>123.1</v>
      </c>
      <c r="P4" s="220">
        <v>122</v>
      </c>
      <c r="Q4" s="218">
        <v>100.2</v>
      </c>
      <c r="R4" s="218">
        <v>143.4</v>
      </c>
      <c r="S4" s="218">
        <v>140.4</v>
      </c>
      <c r="T4" s="218">
        <v>84.1</v>
      </c>
      <c r="U4" s="218">
        <v>103.1</v>
      </c>
      <c r="V4" s="198">
        <v>142</v>
      </c>
      <c r="W4" s="218">
        <v>124.8</v>
      </c>
      <c r="X4" s="218">
        <v>122.3</v>
      </c>
      <c r="Y4" s="198">
        <v>122.7</v>
      </c>
      <c r="Z4" s="218">
        <v>84.1</v>
      </c>
      <c r="AA4" s="218">
        <v>104.3</v>
      </c>
      <c r="AB4" s="218">
        <v>163.3</v>
      </c>
      <c r="AC4" s="218">
        <v>125.8</v>
      </c>
      <c r="AD4" s="218">
        <v>123.8</v>
      </c>
      <c r="AE4" s="218">
        <v>123.9</v>
      </c>
      <c r="AF4" s="218">
        <v>105.2</v>
      </c>
      <c r="AG4" s="218">
        <v>65.2</v>
      </c>
      <c r="AH4" s="218">
        <v>119.3</v>
      </c>
      <c r="AI4" s="217">
        <v>123.5</v>
      </c>
      <c r="AJ4" s="217">
        <v>105.3</v>
      </c>
      <c r="AK4" s="217">
        <v>161.1</v>
      </c>
      <c r="AL4" s="217">
        <v>82.2</v>
      </c>
      <c r="AM4" s="217">
        <v>82.5</v>
      </c>
      <c r="AN4" s="217">
        <v>121.8</v>
      </c>
      <c r="AO4" s="217">
        <v>104.2</v>
      </c>
      <c r="AP4" s="217">
        <v>122.3</v>
      </c>
      <c r="AQ4" s="217">
        <v>121.5</v>
      </c>
      <c r="AR4" s="217">
        <v>121.7</v>
      </c>
      <c r="AS4" s="217">
        <v>105.6</v>
      </c>
      <c r="AT4" s="217">
        <v>113.1</v>
      </c>
      <c r="AU4" s="217">
        <v>106.2</v>
      </c>
      <c r="AV4" s="217">
        <v>114.5</v>
      </c>
      <c r="AW4" s="217">
        <v>86.7</v>
      </c>
      <c r="AX4" s="217">
        <v>133.8</v>
      </c>
      <c r="AY4" s="220">
        <v>119</v>
      </c>
      <c r="AZ4" s="220">
        <v>136.6</v>
      </c>
      <c r="BA4" s="220">
        <v>96.7</v>
      </c>
      <c r="BB4" s="220">
        <v>107.6</v>
      </c>
      <c r="BC4" s="220">
        <v>138.1</v>
      </c>
      <c r="BD4" s="220">
        <v>117.3</v>
      </c>
      <c r="BE4" s="220">
        <v>99.2</v>
      </c>
      <c r="BF4" s="220">
        <v>116.6</v>
      </c>
      <c r="BG4" s="220">
        <v>99.5</v>
      </c>
      <c r="BH4" s="220">
        <v>96.7</v>
      </c>
      <c r="BI4" s="220">
        <v>114.7</v>
      </c>
      <c r="BJ4" s="220">
        <v>84.9</v>
      </c>
      <c r="BK4" s="220">
        <v>150.8</v>
      </c>
      <c r="BL4" s="220">
        <v>144.4</v>
      </c>
      <c r="BM4" s="220">
        <v>105.9</v>
      </c>
      <c r="BN4" s="220">
        <v>108.8</v>
      </c>
      <c r="BO4" s="220">
        <v>105.1</v>
      </c>
      <c r="BP4" s="220">
        <v>131.6</v>
      </c>
      <c r="BQ4" s="220">
        <v>129.6</v>
      </c>
      <c r="BR4" s="220">
        <v>104</v>
      </c>
    </row>
    <row r="5" spans="1:70" ht="12.75">
      <c r="A5" s="629" t="s">
        <v>140</v>
      </c>
      <c r="B5" s="217">
        <v>18.5</v>
      </c>
      <c r="C5" s="217">
        <v>8.2</v>
      </c>
      <c r="D5" s="217">
        <v>12.4</v>
      </c>
      <c r="E5" s="217">
        <v>9.2</v>
      </c>
      <c r="F5" s="217">
        <v>15.8</v>
      </c>
      <c r="G5" s="217">
        <v>11.1</v>
      </c>
      <c r="H5" s="217">
        <v>10.8</v>
      </c>
      <c r="I5" s="217">
        <v>15.8</v>
      </c>
      <c r="J5" s="217">
        <v>18</v>
      </c>
      <c r="K5" s="217">
        <v>11.4</v>
      </c>
      <c r="L5" s="217">
        <v>19.7</v>
      </c>
      <c r="M5" s="220">
        <v>17</v>
      </c>
      <c r="N5" s="217">
        <v>8.9</v>
      </c>
      <c r="O5" s="217">
        <v>18.6</v>
      </c>
      <c r="P5" s="217">
        <v>17.3</v>
      </c>
      <c r="Q5" s="218">
        <v>15.3</v>
      </c>
      <c r="R5" s="218">
        <v>18.8</v>
      </c>
      <c r="S5" s="218">
        <v>22.2</v>
      </c>
      <c r="T5" s="198">
        <v>8.1</v>
      </c>
      <c r="U5" s="218">
        <v>10.7</v>
      </c>
      <c r="V5" s="218">
        <v>26.3</v>
      </c>
      <c r="W5" s="198">
        <v>7.9</v>
      </c>
      <c r="X5" s="218">
        <v>31.3</v>
      </c>
      <c r="Y5" s="218">
        <v>25.8</v>
      </c>
      <c r="Z5" s="198">
        <v>8.7</v>
      </c>
      <c r="AA5" s="218">
        <v>24.9</v>
      </c>
      <c r="AB5" s="218">
        <v>25.3</v>
      </c>
      <c r="AC5" s="218">
        <v>16.4</v>
      </c>
      <c r="AD5" s="218">
        <v>11.1</v>
      </c>
      <c r="AE5" s="198">
        <v>21</v>
      </c>
      <c r="AF5" s="218">
        <v>8.3</v>
      </c>
      <c r="AG5" s="218">
        <v>23.8</v>
      </c>
      <c r="AH5" s="218">
        <v>9.3</v>
      </c>
      <c r="AI5" s="220">
        <v>19</v>
      </c>
      <c r="AJ5" s="220">
        <v>17.7</v>
      </c>
      <c r="AK5" s="220">
        <v>17.9</v>
      </c>
      <c r="AL5" s="220">
        <v>12.3</v>
      </c>
      <c r="AM5" s="220">
        <v>6.9</v>
      </c>
      <c r="AN5" s="220">
        <v>18.1</v>
      </c>
      <c r="AO5" s="220">
        <v>14.5</v>
      </c>
      <c r="AP5" s="220">
        <v>12.1</v>
      </c>
      <c r="AQ5" s="220">
        <v>10.9</v>
      </c>
      <c r="AR5" s="220">
        <v>9.2</v>
      </c>
      <c r="AS5" s="220">
        <v>20.1</v>
      </c>
      <c r="AT5" s="220">
        <v>13.5</v>
      </c>
      <c r="AU5" s="220">
        <v>8.3</v>
      </c>
      <c r="AV5" s="220">
        <v>19</v>
      </c>
      <c r="AW5" s="220">
        <v>10.7</v>
      </c>
      <c r="AX5" s="220">
        <v>11.9</v>
      </c>
      <c r="AY5" s="220">
        <v>12.5</v>
      </c>
      <c r="AZ5" s="220">
        <v>17.5</v>
      </c>
      <c r="BA5" s="220">
        <v>14.1</v>
      </c>
      <c r="BB5" s="220">
        <v>15.4</v>
      </c>
      <c r="BC5" s="220">
        <v>12.2</v>
      </c>
      <c r="BD5" s="220">
        <v>8.4</v>
      </c>
      <c r="BE5" s="220">
        <v>17.5</v>
      </c>
      <c r="BF5" s="220">
        <v>17.2</v>
      </c>
      <c r="BG5" s="220">
        <v>20.8</v>
      </c>
      <c r="BH5" s="220">
        <v>11.9</v>
      </c>
      <c r="BI5" s="220">
        <v>9.8</v>
      </c>
      <c r="BJ5" s="220">
        <v>22.6</v>
      </c>
      <c r="BK5" s="220">
        <v>20.3</v>
      </c>
      <c r="BL5" s="220">
        <v>16.8</v>
      </c>
      <c r="BM5" s="220">
        <v>11.3</v>
      </c>
      <c r="BN5" s="220">
        <v>10.7</v>
      </c>
      <c r="BO5" s="220">
        <v>23.2</v>
      </c>
      <c r="BP5" s="220">
        <v>11.6</v>
      </c>
      <c r="BQ5" s="220">
        <v>14</v>
      </c>
      <c r="BR5" s="220">
        <v>17.7</v>
      </c>
    </row>
    <row r="6" spans="1:70" ht="12.75">
      <c r="A6" s="629" t="s">
        <v>289</v>
      </c>
      <c r="B6" s="217">
        <v>1.3</v>
      </c>
      <c r="C6" s="217">
        <v>1.5</v>
      </c>
      <c r="D6" s="217">
        <v>1.4</v>
      </c>
      <c r="E6" s="217">
        <v>1.3</v>
      </c>
      <c r="F6" s="217">
        <v>1.6</v>
      </c>
      <c r="G6" s="217">
        <v>1.3</v>
      </c>
      <c r="H6" s="217">
        <v>1.4</v>
      </c>
      <c r="I6" s="217">
        <v>1.7</v>
      </c>
      <c r="J6" s="217">
        <v>1.6</v>
      </c>
      <c r="K6" s="217">
        <v>1.5</v>
      </c>
      <c r="L6" s="217">
        <v>1.3</v>
      </c>
      <c r="M6" s="217">
        <v>1.5</v>
      </c>
      <c r="N6" s="220">
        <v>1</v>
      </c>
      <c r="O6" s="217">
        <v>1.5</v>
      </c>
      <c r="P6" s="217">
        <v>1.1</v>
      </c>
      <c r="Q6" s="218">
        <v>0.9</v>
      </c>
      <c r="R6" s="198">
        <v>0.9</v>
      </c>
      <c r="S6" s="218">
        <v>0.9</v>
      </c>
      <c r="T6" s="218">
        <v>0.9</v>
      </c>
      <c r="U6" s="218">
        <v>1.2</v>
      </c>
      <c r="V6" s="218">
        <v>1.2</v>
      </c>
      <c r="W6" s="218">
        <v>0.8</v>
      </c>
      <c r="X6" s="218">
        <v>1.4</v>
      </c>
      <c r="Y6" s="218">
        <v>0.8</v>
      </c>
      <c r="Z6" s="218">
        <v>0.9</v>
      </c>
      <c r="AA6" s="218">
        <v>1.5</v>
      </c>
      <c r="AB6" s="218">
        <v>0.4</v>
      </c>
      <c r="AC6" s="218">
        <v>0.9</v>
      </c>
      <c r="AD6" s="218">
        <v>0.6</v>
      </c>
      <c r="AE6" s="218">
        <v>0.6</v>
      </c>
      <c r="AF6" s="198">
        <v>1</v>
      </c>
      <c r="AG6" s="218">
        <v>0.6</v>
      </c>
      <c r="AH6" s="218">
        <v>0.7</v>
      </c>
      <c r="AI6" s="220">
        <v>0.8</v>
      </c>
      <c r="AJ6" s="220">
        <v>0.7</v>
      </c>
      <c r="AK6" s="220">
        <v>1.1</v>
      </c>
      <c r="AL6" s="220">
        <v>0.6</v>
      </c>
      <c r="AM6" s="220">
        <v>0.7</v>
      </c>
      <c r="AN6" s="220">
        <v>1.1</v>
      </c>
      <c r="AO6" s="220">
        <v>0.6</v>
      </c>
      <c r="AP6" s="220">
        <v>0.5</v>
      </c>
      <c r="AQ6" s="220">
        <v>0.7</v>
      </c>
      <c r="AR6" s="220">
        <v>0.1</v>
      </c>
      <c r="AS6" s="220">
        <v>0.8</v>
      </c>
      <c r="AT6" s="220">
        <v>0.7</v>
      </c>
      <c r="AU6" s="220">
        <v>0.8</v>
      </c>
      <c r="AV6" s="220">
        <v>0.6</v>
      </c>
      <c r="AW6" s="220">
        <v>0.7</v>
      </c>
      <c r="AX6" s="220">
        <v>0.5</v>
      </c>
      <c r="AY6" s="220">
        <v>0.1</v>
      </c>
      <c r="AZ6" s="220">
        <v>0.2</v>
      </c>
      <c r="BA6" s="220">
        <v>0.5</v>
      </c>
      <c r="BB6" s="220">
        <v>0.5</v>
      </c>
      <c r="BC6" s="220">
        <v>0.2</v>
      </c>
      <c r="BD6" s="220">
        <v>0.3</v>
      </c>
      <c r="BE6" s="220">
        <v>0.3</v>
      </c>
      <c r="BF6" s="220">
        <v>0.3</v>
      </c>
      <c r="BG6" s="220">
        <v>0.7</v>
      </c>
      <c r="BH6" s="220">
        <v>0.4</v>
      </c>
      <c r="BI6" s="220">
        <v>0.2</v>
      </c>
      <c r="BJ6" s="220">
        <v>0.1</v>
      </c>
      <c r="BK6" s="220">
        <v>0.3</v>
      </c>
      <c r="BL6" s="220">
        <v>0.3</v>
      </c>
      <c r="BM6" s="220">
        <v>0.1</v>
      </c>
      <c r="BN6" s="220">
        <v>0.2</v>
      </c>
      <c r="BO6" s="220">
        <v>0.4</v>
      </c>
      <c r="BP6" s="220">
        <v>0.3</v>
      </c>
      <c r="BQ6" s="220">
        <v>0.3</v>
      </c>
      <c r="BR6" s="220">
        <v>0.4</v>
      </c>
    </row>
    <row r="7" spans="1:70" s="255" customFormat="1" ht="16.5" customHeight="1">
      <c r="A7" s="628" t="s">
        <v>22</v>
      </c>
      <c r="B7" s="256"/>
      <c r="C7" s="256"/>
      <c r="D7" s="256"/>
      <c r="E7" s="257"/>
      <c r="F7" s="257"/>
      <c r="G7" s="257"/>
      <c r="H7" s="257"/>
      <c r="I7" s="257"/>
      <c r="J7" s="257"/>
      <c r="K7" s="257"/>
      <c r="L7" s="257"/>
      <c r="M7" s="257"/>
      <c r="N7" s="257"/>
      <c r="O7" s="257"/>
      <c r="P7" s="257"/>
      <c r="Q7" s="223"/>
      <c r="R7" s="223"/>
      <c r="S7" s="223"/>
      <c r="T7" s="223"/>
      <c r="U7" s="223"/>
      <c r="V7" s="223"/>
      <c r="W7" s="223"/>
      <c r="X7" s="223"/>
      <c r="Y7" s="223"/>
      <c r="Z7" s="223"/>
      <c r="AA7" s="223"/>
      <c r="AB7" s="223"/>
      <c r="AC7" s="223"/>
      <c r="AD7" s="223"/>
      <c r="AE7" s="223"/>
      <c r="AF7" s="223"/>
      <c r="AG7" s="223"/>
      <c r="AH7" s="223"/>
      <c r="AI7" s="222"/>
      <c r="AJ7" s="222"/>
      <c r="AK7" s="222"/>
      <c r="AL7" s="222"/>
      <c r="AM7" s="222"/>
      <c r="AN7" s="222"/>
      <c r="AO7" s="222"/>
      <c r="AP7" s="222"/>
      <c r="AQ7" s="222"/>
      <c r="AR7" s="222"/>
      <c r="AS7" s="222"/>
      <c r="AT7" s="222"/>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row>
    <row r="8" spans="1:70" ht="12.75">
      <c r="A8" s="629" t="s">
        <v>371</v>
      </c>
      <c r="B8" s="220">
        <v>28</v>
      </c>
      <c r="C8" s="217">
        <v>31.3</v>
      </c>
      <c r="D8" s="217">
        <v>43.2</v>
      </c>
      <c r="E8" s="217">
        <v>38.1</v>
      </c>
      <c r="F8" s="220">
        <v>40</v>
      </c>
      <c r="G8" s="220">
        <v>49</v>
      </c>
      <c r="H8" s="217">
        <v>43.8</v>
      </c>
      <c r="I8" s="217">
        <v>42.4</v>
      </c>
      <c r="J8" s="217">
        <v>50.9</v>
      </c>
      <c r="K8" s="220">
        <v>50</v>
      </c>
      <c r="L8" s="217">
        <v>44.3</v>
      </c>
      <c r="M8" s="217">
        <v>53.5</v>
      </c>
      <c r="N8" s="217">
        <v>31.3</v>
      </c>
      <c r="O8" s="217">
        <v>50.1</v>
      </c>
      <c r="P8" s="217">
        <v>53.5</v>
      </c>
      <c r="Q8" s="218">
        <v>42.4</v>
      </c>
      <c r="R8" s="218">
        <v>51.2</v>
      </c>
      <c r="S8" s="218">
        <v>51.2</v>
      </c>
      <c r="T8" s="218">
        <v>38.5</v>
      </c>
      <c r="U8" s="218">
        <v>41.4</v>
      </c>
      <c r="V8" s="218">
        <v>54.9</v>
      </c>
      <c r="W8" s="218">
        <v>42.6</v>
      </c>
      <c r="X8" s="218">
        <v>51.5</v>
      </c>
      <c r="Y8" s="218">
        <v>48.2</v>
      </c>
      <c r="Z8" s="218">
        <v>36.9</v>
      </c>
      <c r="AA8" s="218">
        <v>48.4</v>
      </c>
      <c r="AB8" s="218">
        <v>46.9</v>
      </c>
      <c r="AC8" s="218">
        <v>42.4</v>
      </c>
      <c r="AD8" s="218">
        <v>48.2</v>
      </c>
      <c r="AE8" s="218">
        <v>54.3</v>
      </c>
      <c r="AF8" s="218">
        <v>43.3</v>
      </c>
      <c r="AG8" s="218">
        <v>40.9</v>
      </c>
      <c r="AH8" s="218">
        <v>43.7</v>
      </c>
      <c r="AI8" s="217">
        <v>44.4</v>
      </c>
      <c r="AJ8" s="217">
        <v>51.8</v>
      </c>
      <c r="AK8" s="217">
        <v>59.9</v>
      </c>
      <c r="AL8" s="217">
        <v>35.2</v>
      </c>
      <c r="AM8" s="217">
        <v>51.7</v>
      </c>
      <c r="AN8" s="217">
        <v>49.7</v>
      </c>
      <c r="AO8" s="217">
        <v>47.3</v>
      </c>
      <c r="AP8" s="217">
        <v>50.1</v>
      </c>
      <c r="AQ8" s="220">
        <v>51</v>
      </c>
      <c r="AR8" s="220">
        <v>41.8</v>
      </c>
      <c r="AS8" s="220">
        <v>41.8</v>
      </c>
      <c r="AT8" s="220">
        <v>48.5</v>
      </c>
      <c r="AU8" s="220">
        <v>48.1</v>
      </c>
      <c r="AV8" s="217">
        <v>53.9</v>
      </c>
      <c r="AW8" s="217">
        <v>42.4</v>
      </c>
      <c r="AX8" s="217">
        <v>45.2</v>
      </c>
      <c r="AY8" s="217">
        <v>45.2</v>
      </c>
      <c r="AZ8" s="217">
        <v>52.8</v>
      </c>
      <c r="BA8" s="217">
        <v>49.7</v>
      </c>
      <c r="BB8" s="217">
        <v>46.3</v>
      </c>
      <c r="BC8" s="217">
        <v>53.4</v>
      </c>
      <c r="BD8" s="217">
        <v>42.6</v>
      </c>
      <c r="BE8" s="217">
        <v>44.2</v>
      </c>
      <c r="BF8" s="217">
        <v>50.3</v>
      </c>
      <c r="BG8" s="217">
        <v>45.4</v>
      </c>
      <c r="BH8" s="217">
        <v>50.1</v>
      </c>
      <c r="BI8" s="217">
        <v>39.6</v>
      </c>
      <c r="BJ8" s="217">
        <v>47.8</v>
      </c>
      <c r="BK8" s="217">
        <v>52.8</v>
      </c>
      <c r="BL8" s="217">
        <v>56.2</v>
      </c>
      <c r="BM8" s="217">
        <v>46.6</v>
      </c>
      <c r="BN8" s="217">
        <v>46.1</v>
      </c>
      <c r="BO8" s="217">
        <v>54.3</v>
      </c>
      <c r="BP8" s="217">
        <v>44.9</v>
      </c>
      <c r="BQ8" s="217">
        <v>43.7</v>
      </c>
      <c r="BR8" s="220">
        <v>52</v>
      </c>
    </row>
    <row r="9" spans="1:70" ht="12.75">
      <c r="A9" s="629" t="s">
        <v>139</v>
      </c>
      <c r="B9" s="217">
        <v>62.7</v>
      </c>
      <c r="C9" s="217">
        <v>83.1</v>
      </c>
      <c r="D9" s="217">
        <v>61.2</v>
      </c>
      <c r="E9" s="217">
        <v>97.2</v>
      </c>
      <c r="F9" s="217">
        <v>71.2</v>
      </c>
      <c r="G9" s="217">
        <v>110.3</v>
      </c>
      <c r="H9" s="217">
        <v>113.9</v>
      </c>
      <c r="I9" s="217">
        <v>135.2</v>
      </c>
      <c r="J9" s="217">
        <v>134.1</v>
      </c>
      <c r="K9" s="217">
        <v>149.8</v>
      </c>
      <c r="L9" s="217">
        <v>109.5</v>
      </c>
      <c r="M9" s="217">
        <v>99.1</v>
      </c>
      <c r="N9" s="217">
        <v>82.7</v>
      </c>
      <c r="O9" s="217">
        <v>121.6</v>
      </c>
      <c r="P9" s="220">
        <v>121</v>
      </c>
      <c r="Q9" s="218">
        <v>99.3</v>
      </c>
      <c r="R9" s="218">
        <v>142.2</v>
      </c>
      <c r="S9" s="198">
        <v>139</v>
      </c>
      <c r="T9" s="218">
        <v>82.3</v>
      </c>
      <c r="U9" s="218">
        <v>101.8</v>
      </c>
      <c r="V9" s="218">
        <v>139.2</v>
      </c>
      <c r="W9" s="218">
        <v>123.3</v>
      </c>
      <c r="X9" s="218">
        <v>120.5</v>
      </c>
      <c r="Y9" s="218">
        <v>119.9</v>
      </c>
      <c r="Z9" s="218">
        <v>82.4</v>
      </c>
      <c r="AA9" s="218">
        <v>101.8</v>
      </c>
      <c r="AB9" s="198">
        <v>161</v>
      </c>
      <c r="AC9" s="218">
        <v>122.7</v>
      </c>
      <c r="AD9" s="198">
        <v>120.8</v>
      </c>
      <c r="AE9" s="198">
        <v>120.5</v>
      </c>
      <c r="AF9" s="218">
        <v>102.7</v>
      </c>
      <c r="AG9" s="218">
        <v>60.8</v>
      </c>
      <c r="AH9" s="218">
        <v>117.2</v>
      </c>
      <c r="AI9" s="220">
        <v>120.4</v>
      </c>
      <c r="AJ9" s="220">
        <v>101.1</v>
      </c>
      <c r="AK9" s="220">
        <v>157.6</v>
      </c>
      <c r="AL9" s="220">
        <v>79.9</v>
      </c>
      <c r="AM9" s="220">
        <v>80.3</v>
      </c>
      <c r="AN9" s="220">
        <v>118.6</v>
      </c>
      <c r="AO9" s="220">
        <v>101.1</v>
      </c>
      <c r="AP9" s="220">
        <v>121.3</v>
      </c>
      <c r="AQ9" s="220">
        <v>118</v>
      </c>
      <c r="AR9" s="220">
        <v>118.4</v>
      </c>
      <c r="AS9" s="220">
        <v>103</v>
      </c>
      <c r="AT9" s="220">
        <v>109.9</v>
      </c>
      <c r="AU9" s="220">
        <v>104.4</v>
      </c>
      <c r="AV9" s="220">
        <v>111.8</v>
      </c>
      <c r="AW9" s="220">
        <v>82.2</v>
      </c>
      <c r="AX9" s="220">
        <v>130.4</v>
      </c>
      <c r="AY9" s="220">
        <v>116.4</v>
      </c>
      <c r="AZ9" s="220">
        <v>133.7</v>
      </c>
      <c r="BA9" s="220">
        <v>93.5</v>
      </c>
      <c r="BB9" s="220">
        <v>104.1</v>
      </c>
      <c r="BC9" s="220">
        <v>135.4</v>
      </c>
      <c r="BD9" s="220">
        <v>114.8</v>
      </c>
      <c r="BE9" s="220">
        <v>95.5</v>
      </c>
      <c r="BF9" s="220">
        <v>113.6</v>
      </c>
      <c r="BG9" s="220">
        <v>96.1</v>
      </c>
      <c r="BH9" s="220">
        <v>93.5</v>
      </c>
      <c r="BI9" s="220">
        <v>111.3</v>
      </c>
      <c r="BJ9" s="220">
        <v>82.1</v>
      </c>
      <c r="BK9" s="220">
        <v>148.4</v>
      </c>
      <c r="BL9" s="220">
        <v>141.6</v>
      </c>
      <c r="BM9" s="220">
        <v>103.1</v>
      </c>
      <c r="BN9" s="220">
        <v>106</v>
      </c>
      <c r="BO9" s="220">
        <v>102.1</v>
      </c>
      <c r="BP9" s="220">
        <v>129.7</v>
      </c>
      <c r="BQ9" s="220">
        <v>126.2</v>
      </c>
      <c r="BR9" s="220">
        <v>101.5</v>
      </c>
    </row>
    <row r="10" spans="1:70" ht="12.75">
      <c r="A10" s="629" t="s">
        <v>140</v>
      </c>
      <c r="B10" s="217">
        <v>11.9</v>
      </c>
      <c r="C10" s="217">
        <v>1.4</v>
      </c>
      <c r="D10" s="217">
        <v>6.9</v>
      </c>
      <c r="E10" s="217">
        <v>2.5</v>
      </c>
      <c r="F10" s="217">
        <v>13.7</v>
      </c>
      <c r="G10" s="217">
        <v>2.7</v>
      </c>
      <c r="H10" s="217">
        <v>4</v>
      </c>
      <c r="I10" s="217">
        <v>6.8</v>
      </c>
      <c r="J10" s="217">
        <v>11.9</v>
      </c>
      <c r="K10" s="217">
        <v>2.7</v>
      </c>
      <c r="L10" s="217">
        <v>11.4</v>
      </c>
      <c r="M10" s="217">
        <v>7.7</v>
      </c>
      <c r="N10" s="217">
        <v>1.2</v>
      </c>
      <c r="O10" s="220">
        <v>11</v>
      </c>
      <c r="P10" s="217">
        <v>8.1</v>
      </c>
      <c r="Q10" s="218">
        <v>7.5</v>
      </c>
      <c r="R10" s="198">
        <v>11</v>
      </c>
      <c r="S10" s="218">
        <v>11.9</v>
      </c>
      <c r="T10" s="218">
        <v>1.4</v>
      </c>
      <c r="U10" s="218">
        <v>0.3</v>
      </c>
      <c r="V10" s="218">
        <v>16.4</v>
      </c>
      <c r="W10" s="218">
        <v>0.3</v>
      </c>
      <c r="X10" s="218">
        <v>18.5</v>
      </c>
      <c r="Y10" s="218">
        <v>13.9</v>
      </c>
      <c r="Z10" s="218">
        <v>0.6</v>
      </c>
      <c r="AA10" s="198">
        <v>14</v>
      </c>
      <c r="AB10" s="218">
        <v>15.9</v>
      </c>
      <c r="AC10" s="198">
        <v>6.6</v>
      </c>
      <c r="AD10" s="218">
        <v>1.2</v>
      </c>
      <c r="AE10" s="198">
        <v>12</v>
      </c>
      <c r="AF10" s="198">
        <v>1.3</v>
      </c>
      <c r="AG10" s="198">
        <v>12.6</v>
      </c>
      <c r="AH10" s="198">
        <v>3.2</v>
      </c>
      <c r="AI10" s="220">
        <v>11.9</v>
      </c>
      <c r="AJ10" s="220">
        <v>11.1</v>
      </c>
      <c r="AK10" s="220">
        <v>9.8</v>
      </c>
      <c r="AL10" s="220">
        <v>6.5</v>
      </c>
      <c r="AM10" s="220">
        <v>1.8</v>
      </c>
      <c r="AN10" s="220">
        <v>10.3</v>
      </c>
      <c r="AO10" s="220">
        <v>7.4</v>
      </c>
      <c r="AP10" s="220">
        <v>6.6</v>
      </c>
      <c r="AQ10" s="220">
        <v>5.4</v>
      </c>
      <c r="AR10" s="220">
        <v>3.4</v>
      </c>
      <c r="AS10" s="220">
        <v>12.6</v>
      </c>
      <c r="AT10" s="220">
        <v>4.4</v>
      </c>
      <c r="AU10" s="220">
        <v>3.4</v>
      </c>
      <c r="AV10" s="220">
        <v>11.9</v>
      </c>
      <c r="AW10" s="220">
        <v>4.2</v>
      </c>
      <c r="AX10" s="220">
        <v>5.6</v>
      </c>
      <c r="AY10" s="220">
        <v>7.6</v>
      </c>
      <c r="AZ10" s="220">
        <v>11.1</v>
      </c>
      <c r="BA10" s="220">
        <v>5.6</v>
      </c>
      <c r="BB10" s="220">
        <v>6.6</v>
      </c>
      <c r="BC10" s="220">
        <v>5.3</v>
      </c>
      <c r="BD10" s="220">
        <v>3.6</v>
      </c>
      <c r="BE10" s="220">
        <v>8.5</v>
      </c>
      <c r="BF10" s="220">
        <v>10.1</v>
      </c>
      <c r="BG10" s="220">
        <v>11.2</v>
      </c>
      <c r="BH10" s="220">
        <v>3.4</v>
      </c>
      <c r="BI10" s="220">
        <v>1.9</v>
      </c>
      <c r="BJ10" s="220">
        <v>15.8</v>
      </c>
      <c r="BK10" s="220">
        <v>13.6</v>
      </c>
      <c r="BL10" s="220">
        <v>10.6</v>
      </c>
      <c r="BM10" s="220">
        <v>6.4</v>
      </c>
      <c r="BN10" s="220">
        <v>3.7</v>
      </c>
      <c r="BO10" s="220">
        <v>16.5</v>
      </c>
      <c r="BP10" s="220">
        <v>7.8</v>
      </c>
      <c r="BQ10" s="220">
        <v>8.5</v>
      </c>
      <c r="BR10" s="220">
        <v>12.5</v>
      </c>
    </row>
    <row r="11" spans="1:70" s="255" customFormat="1" ht="16.5" customHeight="1">
      <c r="A11" s="628" t="s">
        <v>41</v>
      </c>
      <c r="B11" s="256"/>
      <c r="C11" s="256"/>
      <c r="D11" s="256"/>
      <c r="E11" s="257"/>
      <c r="F11" s="257"/>
      <c r="G11" s="257"/>
      <c r="H11" s="257"/>
      <c r="I11" s="257"/>
      <c r="J11" s="257"/>
      <c r="K11" s="257"/>
      <c r="L11" s="257"/>
      <c r="M11" s="257"/>
      <c r="N11" s="257"/>
      <c r="O11" s="257"/>
      <c r="P11" s="257"/>
      <c r="Q11" s="223"/>
      <c r="R11" s="223"/>
      <c r="S11" s="223"/>
      <c r="T11" s="223"/>
      <c r="U11" s="223"/>
      <c r="V11" s="223"/>
      <c r="W11" s="223"/>
      <c r="X11" s="223"/>
      <c r="Y11" s="223"/>
      <c r="Z11" s="223"/>
      <c r="AA11" s="223"/>
      <c r="AB11" s="223"/>
      <c r="AC11" s="223"/>
      <c r="AD11" s="223"/>
      <c r="AE11" s="223"/>
      <c r="AF11" s="223"/>
      <c r="AG11" s="223"/>
      <c r="AH11" s="223"/>
      <c r="AI11" s="222"/>
      <c r="AJ11" s="222"/>
      <c r="AK11" s="222"/>
      <c r="AL11" s="222"/>
      <c r="AM11" s="222"/>
      <c r="AN11" s="222"/>
      <c r="AO11" s="222"/>
      <c r="AP11" s="222"/>
      <c r="AQ11" s="222"/>
      <c r="AR11" s="222"/>
      <c r="AS11" s="222"/>
      <c r="AT11" s="222"/>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row>
    <row r="12" spans="1:70" ht="12.75">
      <c r="A12" s="629" t="s">
        <v>371</v>
      </c>
      <c r="B12" s="217">
        <v>6.3</v>
      </c>
      <c r="C12" s="217">
        <v>6.6</v>
      </c>
      <c r="D12" s="217">
        <v>4.4</v>
      </c>
      <c r="E12" s="217">
        <v>7.9</v>
      </c>
      <c r="F12" s="217">
        <v>4.3</v>
      </c>
      <c r="G12" s="217">
        <v>8.8</v>
      </c>
      <c r="H12" s="217">
        <v>4.8</v>
      </c>
      <c r="I12" s="217">
        <v>8.9</v>
      </c>
      <c r="J12" s="217">
        <v>4.8</v>
      </c>
      <c r="K12" s="217">
        <v>7.5</v>
      </c>
      <c r="L12" s="217">
        <v>6.7</v>
      </c>
      <c r="M12" s="217">
        <v>7.1</v>
      </c>
      <c r="N12" s="217">
        <v>6.9</v>
      </c>
      <c r="O12" s="217">
        <v>4.5</v>
      </c>
      <c r="P12" s="217">
        <v>6.5</v>
      </c>
      <c r="Q12" s="198">
        <v>4</v>
      </c>
      <c r="R12" s="218">
        <v>7.1</v>
      </c>
      <c r="S12" s="218">
        <v>7.4</v>
      </c>
      <c r="T12" s="198">
        <v>4</v>
      </c>
      <c r="U12" s="218">
        <v>6.5</v>
      </c>
      <c r="V12" s="218">
        <v>5.9</v>
      </c>
      <c r="W12" s="198">
        <v>5.1</v>
      </c>
      <c r="X12" s="218">
        <v>9.9</v>
      </c>
      <c r="Y12" s="218">
        <v>5.9</v>
      </c>
      <c r="Z12" s="198">
        <v>5.6</v>
      </c>
      <c r="AA12" s="218">
        <v>7.2</v>
      </c>
      <c r="AB12" s="218">
        <v>5.3</v>
      </c>
      <c r="AC12" s="218">
        <v>5.2</v>
      </c>
      <c r="AD12" s="218">
        <v>6.5</v>
      </c>
      <c r="AE12" s="218">
        <v>5.2</v>
      </c>
      <c r="AF12" s="218">
        <v>5.8</v>
      </c>
      <c r="AG12" s="198">
        <v>8</v>
      </c>
      <c r="AH12" s="218">
        <v>5.4</v>
      </c>
      <c r="AI12" s="217">
        <v>5.1</v>
      </c>
      <c r="AJ12" s="217">
        <v>5.5</v>
      </c>
      <c r="AK12" s="217">
        <v>7.7</v>
      </c>
      <c r="AL12" s="217">
        <v>4.9</v>
      </c>
      <c r="AM12" s="217">
        <v>5.3</v>
      </c>
      <c r="AN12" s="217">
        <v>7.2</v>
      </c>
      <c r="AO12" s="217">
        <v>4.8</v>
      </c>
      <c r="AP12" s="217">
        <v>5.3</v>
      </c>
      <c r="AQ12" s="217">
        <v>3.6</v>
      </c>
      <c r="AR12" s="217">
        <v>5.5</v>
      </c>
      <c r="AS12" s="217">
        <v>6.1</v>
      </c>
      <c r="AT12" s="217">
        <v>8.4</v>
      </c>
      <c r="AU12" s="217">
        <v>3.6</v>
      </c>
      <c r="AV12" s="220">
        <v>6</v>
      </c>
      <c r="AW12" s="217">
        <v>5.5</v>
      </c>
      <c r="AX12" s="217">
        <v>5.5</v>
      </c>
      <c r="AY12" s="217">
        <v>2.9</v>
      </c>
      <c r="AZ12" s="217">
        <v>5.6</v>
      </c>
      <c r="BA12" s="217">
        <v>5.2</v>
      </c>
      <c r="BB12" s="217">
        <v>4.5</v>
      </c>
      <c r="BC12" s="217">
        <v>4.5</v>
      </c>
      <c r="BD12" s="217">
        <v>2.3</v>
      </c>
      <c r="BE12" s="217">
        <v>4.9</v>
      </c>
      <c r="BF12" s="217">
        <v>4.2</v>
      </c>
      <c r="BG12" s="220">
        <v>5</v>
      </c>
      <c r="BH12" s="217">
        <v>4.8</v>
      </c>
      <c r="BI12" s="217">
        <v>5.5</v>
      </c>
      <c r="BJ12" s="217">
        <v>3.7</v>
      </c>
      <c r="BK12" s="217">
        <v>4.4</v>
      </c>
      <c r="BL12" s="217">
        <v>2.6</v>
      </c>
      <c r="BM12" s="217">
        <v>3.1</v>
      </c>
      <c r="BN12" s="217">
        <v>2.3</v>
      </c>
      <c r="BO12" s="220">
        <v>3</v>
      </c>
      <c r="BP12" s="220">
        <v>2.6</v>
      </c>
      <c r="BQ12" s="220">
        <v>2.7</v>
      </c>
      <c r="BR12" s="220">
        <v>2.6</v>
      </c>
    </row>
    <row r="13" spans="1:70" ht="12.75">
      <c r="A13" s="629" t="s">
        <v>140</v>
      </c>
      <c r="B13" s="217">
        <v>5.9</v>
      </c>
      <c r="C13" s="217">
        <v>4.7</v>
      </c>
      <c r="D13" s="217">
        <v>3.3</v>
      </c>
      <c r="E13" s="217">
        <v>6</v>
      </c>
      <c r="F13" s="217">
        <v>4.3</v>
      </c>
      <c r="G13" s="217">
        <v>7.4</v>
      </c>
      <c r="H13" s="217">
        <v>4.8</v>
      </c>
      <c r="I13" s="217">
        <v>7.6</v>
      </c>
      <c r="J13" s="217">
        <v>3.7</v>
      </c>
      <c r="K13" s="217">
        <v>6.6</v>
      </c>
      <c r="L13" s="217">
        <v>5.8</v>
      </c>
      <c r="M13" s="217">
        <v>5.9</v>
      </c>
      <c r="N13" s="217">
        <v>5.7</v>
      </c>
      <c r="O13" s="217">
        <v>4.1</v>
      </c>
      <c r="P13" s="217">
        <v>7.4</v>
      </c>
      <c r="Q13" s="218">
        <v>5.1</v>
      </c>
      <c r="R13" s="218">
        <v>5.3</v>
      </c>
      <c r="S13" s="218">
        <v>7.6</v>
      </c>
      <c r="T13" s="218">
        <v>3.7</v>
      </c>
      <c r="U13" s="218">
        <v>8.2</v>
      </c>
      <c r="V13" s="218">
        <v>6.5</v>
      </c>
      <c r="W13" s="218">
        <v>5.7</v>
      </c>
      <c r="X13" s="218">
        <v>10.6</v>
      </c>
      <c r="Y13" s="218">
        <v>7.8</v>
      </c>
      <c r="Z13" s="218">
        <v>5.9</v>
      </c>
      <c r="AA13" s="218">
        <v>8.3</v>
      </c>
      <c r="AB13" s="198">
        <v>7</v>
      </c>
      <c r="AC13" s="218">
        <v>6.7</v>
      </c>
      <c r="AD13" s="198">
        <v>7.1</v>
      </c>
      <c r="AE13" s="198">
        <v>6.1</v>
      </c>
      <c r="AF13" s="198">
        <v>5</v>
      </c>
      <c r="AG13" s="218">
        <v>7.9</v>
      </c>
      <c r="AH13" s="218">
        <v>4.5</v>
      </c>
      <c r="AI13" s="220">
        <v>4.6</v>
      </c>
      <c r="AJ13" s="220">
        <v>3.5</v>
      </c>
      <c r="AK13" s="220">
        <v>5.6</v>
      </c>
      <c r="AL13" s="220">
        <v>3.2</v>
      </c>
      <c r="AM13" s="220">
        <v>3.3</v>
      </c>
      <c r="AN13" s="220">
        <v>5.5</v>
      </c>
      <c r="AO13" s="220">
        <v>4.3</v>
      </c>
      <c r="AP13" s="220">
        <v>4.1</v>
      </c>
      <c r="AQ13" s="220">
        <v>2.3</v>
      </c>
      <c r="AR13" s="220">
        <v>3.1</v>
      </c>
      <c r="AS13" s="220">
        <v>5.1</v>
      </c>
      <c r="AT13" s="220">
        <v>5.8</v>
      </c>
      <c r="AU13" s="220">
        <v>2.7</v>
      </c>
      <c r="AV13" s="220">
        <v>4.1</v>
      </c>
      <c r="AW13" s="220">
        <v>3.3</v>
      </c>
      <c r="AX13" s="220">
        <v>4</v>
      </c>
      <c r="AY13" s="220">
        <v>2.8</v>
      </c>
      <c r="AZ13" s="220">
        <v>4.2</v>
      </c>
      <c r="BA13" s="220">
        <v>5.9</v>
      </c>
      <c r="BB13" s="220">
        <v>5.7</v>
      </c>
      <c r="BC13" s="220">
        <v>4.3</v>
      </c>
      <c r="BD13" s="220">
        <v>2.6</v>
      </c>
      <c r="BE13" s="220">
        <v>4.9</v>
      </c>
      <c r="BF13" s="220">
        <v>3.9</v>
      </c>
      <c r="BG13" s="220">
        <v>5.8</v>
      </c>
      <c r="BH13" s="220">
        <v>6</v>
      </c>
      <c r="BI13" s="220">
        <v>4.9</v>
      </c>
      <c r="BJ13" s="220">
        <v>3.7</v>
      </c>
      <c r="BK13" s="220">
        <v>4.8</v>
      </c>
      <c r="BL13" s="220">
        <v>3.5</v>
      </c>
      <c r="BM13" s="220">
        <v>1.9</v>
      </c>
      <c r="BN13" s="220">
        <v>4.2</v>
      </c>
      <c r="BO13" s="220">
        <v>3.6</v>
      </c>
      <c r="BP13" s="220">
        <v>2.2</v>
      </c>
      <c r="BQ13" s="220">
        <v>2</v>
      </c>
      <c r="BR13" s="220">
        <v>2.7</v>
      </c>
    </row>
    <row r="14" spans="1:70" ht="12.75">
      <c r="A14" s="629" t="s">
        <v>139</v>
      </c>
      <c r="B14" s="220">
        <v>1</v>
      </c>
      <c r="C14" s="220">
        <v>1</v>
      </c>
      <c r="D14" s="217">
        <v>0.7</v>
      </c>
      <c r="E14" s="217">
        <v>0.5</v>
      </c>
      <c r="F14" s="217">
        <v>0.1</v>
      </c>
      <c r="G14" s="217">
        <v>0.9</v>
      </c>
      <c r="H14" s="217">
        <v>-0.06</v>
      </c>
      <c r="I14" s="217">
        <v>0.9</v>
      </c>
      <c r="J14" s="220">
        <v>0.34</v>
      </c>
      <c r="K14" s="217">
        <v>0.1</v>
      </c>
      <c r="L14" s="217">
        <v>0.6</v>
      </c>
      <c r="M14" s="217">
        <v>0.8</v>
      </c>
      <c r="N14" s="217">
        <v>0.3</v>
      </c>
      <c r="O14" s="217">
        <v>-0.1</v>
      </c>
      <c r="P14" s="217">
        <v>0.1</v>
      </c>
      <c r="Q14" s="218">
        <v>-0.4</v>
      </c>
      <c r="R14" s="198">
        <v>0</v>
      </c>
      <c r="S14" s="218">
        <v>0.1</v>
      </c>
      <c r="T14" s="218">
        <v>0.4</v>
      </c>
      <c r="U14" s="218">
        <v>0.4</v>
      </c>
      <c r="V14" s="218">
        <v>1.1</v>
      </c>
      <c r="W14" s="218">
        <v>0.8</v>
      </c>
      <c r="X14" s="218">
        <v>0.8</v>
      </c>
      <c r="Y14" s="218">
        <v>0.9</v>
      </c>
      <c r="Z14" s="218">
        <v>0.6</v>
      </c>
      <c r="AA14" s="218">
        <v>0.8</v>
      </c>
      <c r="AB14" s="218">
        <v>0.7</v>
      </c>
      <c r="AC14" s="218">
        <v>0.5</v>
      </c>
      <c r="AD14" s="218">
        <v>0.5</v>
      </c>
      <c r="AE14" s="218">
        <v>0.8</v>
      </c>
      <c r="AF14" s="218">
        <v>0.7</v>
      </c>
      <c r="AG14" s="218">
        <v>1.1</v>
      </c>
      <c r="AH14" s="218">
        <v>0.4</v>
      </c>
      <c r="AI14" s="217">
        <v>0.6</v>
      </c>
      <c r="AJ14" s="217">
        <v>0.6</v>
      </c>
      <c r="AK14" s="217">
        <v>0.7</v>
      </c>
      <c r="AL14" s="217">
        <v>0.4</v>
      </c>
      <c r="AM14" s="217">
        <v>0.3</v>
      </c>
      <c r="AN14" s="217">
        <v>0.1</v>
      </c>
      <c r="AO14" s="217">
        <v>-0.1</v>
      </c>
      <c r="AP14" s="217">
        <v>-0.6</v>
      </c>
      <c r="AQ14" s="217">
        <v>0.3</v>
      </c>
      <c r="AR14" s="217">
        <v>0.4</v>
      </c>
      <c r="AS14" s="217">
        <v>0.5</v>
      </c>
      <c r="AT14" s="217">
        <v>0.5</v>
      </c>
      <c r="AU14" s="220">
        <v>-0.2</v>
      </c>
      <c r="AV14" s="220">
        <v>0.1</v>
      </c>
      <c r="AW14" s="220">
        <v>1</v>
      </c>
      <c r="AX14" s="220">
        <v>0.7</v>
      </c>
      <c r="AY14" s="220">
        <v>0.1</v>
      </c>
      <c r="AZ14" s="220">
        <v>0.6</v>
      </c>
      <c r="BA14" s="220">
        <v>0.9</v>
      </c>
      <c r="BB14" s="220">
        <v>1</v>
      </c>
      <c r="BC14" s="220">
        <v>0.9</v>
      </c>
      <c r="BD14" s="220">
        <v>0.7</v>
      </c>
      <c r="BE14" s="220">
        <v>0.9</v>
      </c>
      <c r="BF14" s="220">
        <v>0.7</v>
      </c>
      <c r="BG14" s="220">
        <v>1</v>
      </c>
      <c r="BH14" s="220">
        <v>1.3</v>
      </c>
      <c r="BI14" s="220">
        <v>1.4</v>
      </c>
      <c r="BJ14" s="220">
        <v>0.9</v>
      </c>
      <c r="BK14" s="220">
        <v>1.2</v>
      </c>
      <c r="BL14" s="220">
        <v>0.8</v>
      </c>
      <c r="BM14" s="220">
        <v>0.9</v>
      </c>
      <c r="BN14" s="220">
        <v>0.8</v>
      </c>
      <c r="BO14" s="220">
        <v>1</v>
      </c>
      <c r="BP14" s="220">
        <v>0.9</v>
      </c>
      <c r="BQ14" s="220">
        <v>0.9</v>
      </c>
      <c r="BR14" s="220">
        <v>0.8</v>
      </c>
    </row>
    <row r="15" spans="1:70" ht="12.75">
      <c r="A15" s="629" t="s">
        <v>289</v>
      </c>
      <c r="B15" s="217">
        <v>0.04</v>
      </c>
      <c r="C15" s="217">
        <v>0.003</v>
      </c>
      <c r="D15" s="217">
        <v>0</v>
      </c>
      <c r="E15" s="217">
        <v>0.04</v>
      </c>
      <c r="F15" s="217">
        <v>0.06</v>
      </c>
      <c r="G15" s="217">
        <v>0.02</v>
      </c>
      <c r="H15" s="217">
        <v>0.04</v>
      </c>
      <c r="I15" s="217">
        <v>0.05</v>
      </c>
      <c r="J15" s="220">
        <v>0</v>
      </c>
      <c r="K15" s="217">
        <v>0.13</v>
      </c>
      <c r="L15" s="217">
        <v>0.04</v>
      </c>
      <c r="M15" s="217">
        <v>0.02</v>
      </c>
      <c r="N15" s="217">
        <v>0.02</v>
      </c>
      <c r="O15" s="217">
        <v>0.059</v>
      </c>
      <c r="P15" s="217">
        <v>0.16</v>
      </c>
      <c r="Q15" s="225">
        <v>0.134</v>
      </c>
      <c r="R15" s="218">
        <v>0.14</v>
      </c>
      <c r="S15" s="218">
        <v>0.04</v>
      </c>
      <c r="T15" s="225">
        <v>0.092</v>
      </c>
      <c r="U15" s="218">
        <v>0.02</v>
      </c>
      <c r="V15" s="218">
        <v>0.02</v>
      </c>
      <c r="W15" s="218">
        <v>0.06</v>
      </c>
      <c r="X15" s="218">
        <v>0.07</v>
      </c>
      <c r="Y15" s="218">
        <v>0.05</v>
      </c>
      <c r="Z15" s="218">
        <v>0.04</v>
      </c>
      <c r="AA15" s="258">
        <v>0.093</v>
      </c>
      <c r="AB15" s="258">
        <v>0.089</v>
      </c>
      <c r="AC15" s="258">
        <v>0.081</v>
      </c>
      <c r="AD15" s="258">
        <v>0.038</v>
      </c>
      <c r="AE15" s="258">
        <v>0.041</v>
      </c>
      <c r="AF15" s="258">
        <v>0.061</v>
      </c>
      <c r="AG15" s="225">
        <v>0.02</v>
      </c>
      <c r="AH15" s="225">
        <v>0.02</v>
      </c>
      <c r="AI15" s="260">
        <v>0.04</v>
      </c>
      <c r="AJ15" s="260">
        <v>0.04</v>
      </c>
      <c r="AK15" s="260">
        <v>0.09</v>
      </c>
      <c r="AL15" s="261" t="s">
        <v>34</v>
      </c>
      <c r="AM15" s="261" t="s">
        <v>34</v>
      </c>
      <c r="AN15" s="268" t="s">
        <v>15</v>
      </c>
      <c r="AO15" s="268" t="s">
        <v>15</v>
      </c>
      <c r="AP15" s="268" t="s">
        <v>15</v>
      </c>
      <c r="AQ15" s="268" t="s">
        <v>15</v>
      </c>
      <c r="AR15" s="268" t="s">
        <v>15</v>
      </c>
      <c r="AS15" s="268" t="s">
        <v>15</v>
      </c>
      <c r="AT15" s="268" t="s">
        <v>15</v>
      </c>
      <c r="AU15" s="267" t="s">
        <v>15</v>
      </c>
      <c r="AV15" s="267" t="s">
        <v>15</v>
      </c>
      <c r="AW15" s="267" t="s">
        <v>15</v>
      </c>
      <c r="AX15" s="267" t="s">
        <v>15</v>
      </c>
      <c r="AY15" s="217" t="s">
        <v>15</v>
      </c>
      <c r="AZ15" s="267" t="s">
        <v>15</v>
      </c>
      <c r="BA15" s="267" t="s">
        <v>15</v>
      </c>
      <c r="BB15" s="267" t="s">
        <v>15</v>
      </c>
      <c r="BC15" s="267" t="s">
        <v>15</v>
      </c>
      <c r="BD15" s="267" t="s">
        <v>15</v>
      </c>
      <c r="BE15" s="267" t="s">
        <v>15</v>
      </c>
      <c r="BF15" s="267" t="s">
        <v>15</v>
      </c>
      <c r="BG15" s="267" t="s">
        <v>15</v>
      </c>
      <c r="BH15" s="267" t="s">
        <v>15</v>
      </c>
      <c r="BI15" s="267" t="s">
        <v>15</v>
      </c>
      <c r="BJ15" s="267" t="s">
        <v>15</v>
      </c>
      <c r="BK15" s="267" t="s">
        <v>15</v>
      </c>
      <c r="BL15" s="267" t="s">
        <v>15</v>
      </c>
      <c r="BM15" s="267" t="s">
        <v>15</v>
      </c>
      <c r="BN15" s="267" t="s">
        <v>15</v>
      </c>
      <c r="BO15" s="267" t="s">
        <v>15</v>
      </c>
      <c r="BP15" s="267" t="s">
        <v>15</v>
      </c>
      <c r="BQ15" s="267" t="s">
        <v>15</v>
      </c>
      <c r="BR15" s="267" t="s">
        <v>15</v>
      </c>
    </row>
    <row r="16" spans="1:70" s="255" customFormat="1" ht="16.5" customHeight="1">
      <c r="A16" s="628" t="s">
        <v>43</v>
      </c>
      <c r="B16" s="256"/>
      <c r="C16" s="256"/>
      <c r="D16" s="256"/>
      <c r="E16" s="257"/>
      <c r="F16" s="257"/>
      <c r="G16" s="257"/>
      <c r="H16" s="257"/>
      <c r="I16" s="257"/>
      <c r="J16" s="257"/>
      <c r="K16" s="257"/>
      <c r="L16" s="257"/>
      <c r="M16" s="257"/>
      <c r="N16" s="257"/>
      <c r="O16" s="257"/>
      <c r="P16" s="257"/>
      <c r="Q16" s="223"/>
      <c r="R16" s="223"/>
      <c r="S16" s="223"/>
      <c r="T16" s="223"/>
      <c r="U16" s="223"/>
      <c r="V16" s="223"/>
      <c r="W16" s="223"/>
      <c r="X16" s="223"/>
      <c r="Y16" s="223"/>
      <c r="Z16" s="223"/>
      <c r="AA16" s="223"/>
      <c r="AB16" s="223"/>
      <c r="AC16" s="223"/>
      <c r="AD16" s="223"/>
      <c r="AE16" s="223"/>
      <c r="AF16" s="223"/>
      <c r="AG16" s="223"/>
      <c r="AH16" s="223"/>
      <c r="AI16" s="222"/>
      <c r="AJ16" s="222"/>
      <c r="AK16" s="222"/>
      <c r="AL16" s="222"/>
      <c r="AM16" s="222"/>
      <c r="AN16" s="222"/>
      <c r="AO16" s="222"/>
      <c r="AP16" s="222"/>
      <c r="AQ16" s="222"/>
      <c r="AR16" s="222"/>
      <c r="AS16" s="222"/>
      <c r="AT16" s="222"/>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row>
    <row r="17" spans="1:70" ht="12.75">
      <c r="A17" s="629" t="s">
        <v>371</v>
      </c>
      <c r="B17" s="217">
        <v>2.2</v>
      </c>
      <c r="C17" s="217">
        <v>5.6</v>
      </c>
      <c r="D17" s="217">
        <v>4.8</v>
      </c>
      <c r="E17" s="217">
        <v>2</v>
      </c>
      <c r="F17" s="217">
        <v>5.6</v>
      </c>
      <c r="G17" s="217">
        <v>2.5</v>
      </c>
      <c r="H17" s="217">
        <v>5.8</v>
      </c>
      <c r="I17" s="217">
        <v>3.3</v>
      </c>
      <c r="J17" s="217">
        <v>4.7</v>
      </c>
      <c r="K17" s="217">
        <v>4.4</v>
      </c>
      <c r="L17" s="217">
        <v>4.7</v>
      </c>
      <c r="M17" s="217">
        <v>6.6</v>
      </c>
      <c r="N17" s="220">
        <v>4</v>
      </c>
      <c r="O17" s="217">
        <v>6.3</v>
      </c>
      <c r="P17" s="220">
        <v>4</v>
      </c>
      <c r="Q17" s="218">
        <v>5.3</v>
      </c>
      <c r="R17" s="218">
        <v>5.3</v>
      </c>
      <c r="S17" s="218">
        <v>5.4</v>
      </c>
      <c r="T17" s="218">
        <v>5.1</v>
      </c>
      <c r="U17" s="198">
        <v>4</v>
      </c>
      <c r="V17" s="218">
        <v>6.6</v>
      </c>
      <c r="W17" s="198">
        <v>3</v>
      </c>
      <c r="X17" s="198">
        <v>4.3</v>
      </c>
      <c r="Y17" s="218">
        <v>7.8</v>
      </c>
      <c r="Z17" s="218">
        <v>4.3</v>
      </c>
      <c r="AA17" s="218">
        <v>5.3</v>
      </c>
      <c r="AB17" s="218">
        <v>5.2</v>
      </c>
      <c r="AC17" s="218">
        <v>8.1</v>
      </c>
      <c r="AD17" s="218">
        <v>7.1</v>
      </c>
      <c r="AE17" s="218">
        <v>7.9</v>
      </c>
      <c r="AF17" s="218">
        <v>5.4</v>
      </c>
      <c r="AG17" s="218">
        <v>9.1</v>
      </c>
      <c r="AH17" s="218">
        <v>4.2</v>
      </c>
      <c r="AI17" s="220">
        <v>7</v>
      </c>
      <c r="AJ17" s="217">
        <v>9.3</v>
      </c>
      <c r="AK17" s="217">
        <v>8.2</v>
      </c>
      <c r="AL17" s="217">
        <v>6.1</v>
      </c>
      <c r="AM17" s="217">
        <v>5.9</v>
      </c>
      <c r="AN17" s="217">
        <v>9.7</v>
      </c>
      <c r="AO17" s="217">
        <v>9.1</v>
      </c>
      <c r="AP17" s="217">
        <v>6.9</v>
      </c>
      <c r="AQ17" s="217">
        <v>11.1</v>
      </c>
      <c r="AR17" s="217">
        <v>10.4</v>
      </c>
      <c r="AS17" s="217">
        <v>8.2</v>
      </c>
      <c r="AT17" s="217">
        <v>9.3</v>
      </c>
      <c r="AU17" s="220">
        <v>6.4</v>
      </c>
      <c r="AV17" s="220">
        <v>8.8</v>
      </c>
      <c r="AW17" s="220">
        <v>10.5</v>
      </c>
      <c r="AX17" s="220">
        <v>8.3</v>
      </c>
      <c r="AY17" s="220">
        <v>7.8</v>
      </c>
      <c r="AZ17" s="220">
        <v>7.7</v>
      </c>
      <c r="BA17" s="220">
        <v>7</v>
      </c>
      <c r="BB17" s="220">
        <v>7.4</v>
      </c>
      <c r="BC17" s="220">
        <v>5.9</v>
      </c>
      <c r="BD17" s="220">
        <v>6.6</v>
      </c>
      <c r="BE17" s="220">
        <v>9.8</v>
      </c>
      <c r="BF17" s="220">
        <v>7</v>
      </c>
      <c r="BG17" s="220">
        <v>9.4</v>
      </c>
      <c r="BH17" s="220">
        <v>6.3</v>
      </c>
      <c r="BI17" s="220">
        <v>7.7</v>
      </c>
      <c r="BJ17" s="220">
        <v>6.7</v>
      </c>
      <c r="BK17" s="220">
        <v>4.9</v>
      </c>
      <c r="BL17" s="220">
        <v>7.3</v>
      </c>
      <c r="BM17" s="220">
        <v>7.4</v>
      </c>
      <c r="BN17" s="220">
        <v>7.2</v>
      </c>
      <c r="BO17" s="220">
        <v>7.4</v>
      </c>
      <c r="BP17" s="220">
        <v>3.6</v>
      </c>
      <c r="BQ17" s="220">
        <v>8.7</v>
      </c>
      <c r="BR17" s="220">
        <v>6.4</v>
      </c>
    </row>
    <row r="18" spans="1:70" ht="12.75">
      <c r="A18" s="629" t="s">
        <v>289</v>
      </c>
      <c r="B18" s="217">
        <v>1.3</v>
      </c>
      <c r="C18" s="217">
        <v>1.5</v>
      </c>
      <c r="D18" s="217">
        <v>1.3</v>
      </c>
      <c r="E18" s="217">
        <v>1.3</v>
      </c>
      <c r="F18" s="217" t="s">
        <v>42</v>
      </c>
      <c r="G18" s="217">
        <v>2.5</v>
      </c>
      <c r="H18" s="217">
        <v>1.4</v>
      </c>
      <c r="I18" s="217">
        <v>1.6</v>
      </c>
      <c r="J18" s="217">
        <v>1.6</v>
      </c>
      <c r="K18" s="217">
        <v>1.3</v>
      </c>
      <c r="L18" s="217">
        <v>1.3</v>
      </c>
      <c r="M18" s="217">
        <v>1.5</v>
      </c>
      <c r="N18" s="220">
        <v>1</v>
      </c>
      <c r="O18" s="217">
        <v>1.4</v>
      </c>
      <c r="P18" s="220">
        <v>1</v>
      </c>
      <c r="Q18" s="218">
        <v>0.8</v>
      </c>
      <c r="R18" s="218">
        <v>0.8</v>
      </c>
      <c r="S18" s="218">
        <v>0.9</v>
      </c>
      <c r="T18" s="218">
        <v>0.8</v>
      </c>
      <c r="U18" s="218">
        <v>1.2</v>
      </c>
      <c r="V18" s="218">
        <v>1.2</v>
      </c>
      <c r="W18" s="218">
        <v>0.7</v>
      </c>
      <c r="X18" s="218">
        <v>1.3</v>
      </c>
      <c r="Y18" s="218">
        <v>0.7</v>
      </c>
      <c r="Z18" s="218">
        <v>0.9</v>
      </c>
      <c r="AA18" s="218">
        <v>1.4</v>
      </c>
      <c r="AB18" s="218">
        <v>0.3</v>
      </c>
      <c r="AC18" s="218">
        <v>0.8</v>
      </c>
      <c r="AD18" s="218">
        <v>0.6</v>
      </c>
      <c r="AE18" s="218">
        <v>0.6</v>
      </c>
      <c r="AF18" s="218">
        <v>0.9</v>
      </c>
      <c r="AG18" s="218">
        <v>0.6</v>
      </c>
      <c r="AH18" s="218">
        <v>0.7</v>
      </c>
      <c r="AI18" s="217">
        <v>0.8</v>
      </c>
      <c r="AJ18" s="217">
        <v>0.7</v>
      </c>
      <c r="AK18" s="220">
        <v>1</v>
      </c>
      <c r="AL18" s="217">
        <v>0.5</v>
      </c>
      <c r="AM18" s="217">
        <v>0.7</v>
      </c>
      <c r="AN18" s="217">
        <v>1.1</v>
      </c>
      <c r="AO18" s="217">
        <v>0.6</v>
      </c>
      <c r="AP18" s="217">
        <v>0.5</v>
      </c>
      <c r="AQ18" s="217">
        <v>0.8</v>
      </c>
      <c r="AR18" s="217">
        <v>0.2</v>
      </c>
      <c r="AS18" s="217">
        <v>0.8</v>
      </c>
      <c r="AT18" s="217">
        <v>0.7</v>
      </c>
      <c r="AU18" s="220">
        <v>0.8</v>
      </c>
      <c r="AV18" s="220">
        <v>0.6</v>
      </c>
      <c r="AW18" s="220">
        <v>0.7</v>
      </c>
      <c r="AX18" s="220">
        <v>0.5</v>
      </c>
      <c r="AY18" s="220">
        <v>0.1</v>
      </c>
      <c r="AZ18" s="220">
        <v>0.2</v>
      </c>
      <c r="BA18" s="220">
        <v>0.5</v>
      </c>
      <c r="BB18" s="220">
        <v>0.5</v>
      </c>
      <c r="BC18" s="220">
        <v>0.2</v>
      </c>
      <c r="BD18" s="220">
        <v>0.3</v>
      </c>
      <c r="BE18" s="220">
        <v>0.3</v>
      </c>
      <c r="BF18" s="220">
        <v>0.3</v>
      </c>
      <c r="BG18" s="220">
        <v>0.7</v>
      </c>
      <c r="BH18" s="220">
        <v>0.4</v>
      </c>
      <c r="BI18" s="220">
        <v>0.2</v>
      </c>
      <c r="BJ18" s="220">
        <v>0.1</v>
      </c>
      <c r="BK18" s="220">
        <v>0.3</v>
      </c>
      <c r="BL18" s="220">
        <v>0.2</v>
      </c>
      <c r="BM18" s="220">
        <v>0.1</v>
      </c>
      <c r="BN18" s="220">
        <v>0.1</v>
      </c>
      <c r="BO18" s="220">
        <v>0.4</v>
      </c>
      <c r="BP18" s="220">
        <v>0.3</v>
      </c>
      <c r="BQ18" s="220">
        <v>0.3</v>
      </c>
      <c r="BR18" s="220">
        <v>0.4</v>
      </c>
    </row>
    <row r="19" spans="1:70" ht="12.75">
      <c r="A19" s="629" t="s">
        <v>139</v>
      </c>
      <c r="B19" s="217">
        <v>0.5</v>
      </c>
      <c r="C19" s="217">
        <v>1.5</v>
      </c>
      <c r="D19" s="217">
        <v>1.3</v>
      </c>
      <c r="E19" s="217">
        <v>0.3</v>
      </c>
      <c r="F19" s="217">
        <v>1.5</v>
      </c>
      <c r="G19" s="217">
        <v>1.3</v>
      </c>
      <c r="H19" s="217">
        <v>1.5</v>
      </c>
      <c r="I19" s="217">
        <v>1</v>
      </c>
      <c r="J19" s="217">
        <v>1.4</v>
      </c>
      <c r="K19" s="217">
        <v>1.3</v>
      </c>
      <c r="L19" s="217">
        <v>1.3</v>
      </c>
      <c r="M19" s="217">
        <v>1.8</v>
      </c>
      <c r="N19" s="220">
        <v>1</v>
      </c>
      <c r="O19" s="217">
        <v>1.6</v>
      </c>
      <c r="P19" s="217">
        <v>0.9</v>
      </c>
      <c r="Q19" s="218">
        <v>1.3</v>
      </c>
      <c r="R19" s="218">
        <v>1.2</v>
      </c>
      <c r="S19" s="218">
        <v>1.3</v>
      </c>
      <c r="T19" s="218">
        <v>1.3</v>
      </c>
      <c r="U19" s="218">
        <v>0.9</v>
      </c>
      <c r="V19" s="218">
        <v>1.7</v>
      </c>
      <c r="W19" s="218">
        <v>0.7</v>
      </c>
      <c r="X19" s="198">
        <v>1</v>
      </c>
      <c r="Y19" s="218">
        <v>1.9</v>
      </c>
      <c r="Z19" s="218">
        <v>1.1</v>
      </c>
      <c r="AA19" s="218">
        <v>1.7</v>
      </c>
      <c r="AB19" s="218">
        <v>1.6</v>
      </c>
      <c r="AC19" s="218">
        <v>2.6</v>
      </c>
      <c r="AD19" s="218">
        <v>2.5</v>
      </c>
      <c r="AE19" s="218">
        <v>2.6</v>
      </c>
      <c r="AF19" s="218">
        <v>1.8</v>
      </c>
      <c r="AG19" s="218">
        <v>3.3</v>
      </c>
      <c r="AH19" s="218">
        <v>1.7</v>
      </c>
      <c r="AI19" s="217">
        <v>2.5</v>
      </c>
      <c r="AJ19" s="217">
        <v>3.6</v>
      </c>
      <c r="AK19" s="217">
        <v>2.8</v>
      </c>
      <c r="AL19" s="217">
        <v>1.9</v>
      </c>
      <c r="AM19" s="217">
        <v>1.9</v>
      </c>
      <c r="AN19" s="217">
        <v>3.1</v>
      </c>
      <c r="AO19" s="217">
        <v>3.2</v>
      </c>
      <c r="AP19" s="217">
        <v>1.6</v>
      </c>
      <c r="AQ19" s="217">
        <v>3.2</v>
      </c>
      <c r="AR19" s="217">
        <v>2.9</v>
      </c>
      <c r="AS19" s="217">
        <v>2.1</v>
      </c>
      <c r="AT19" s="217">
        <v>2.7</v>
      </c>
      <c r="AU19" s="220">
        <v>2</v>
      </c>
      <c r="AV19" s="217">
        <v>2.6</v>
      </c>
      <c r="AW19" s="217">
        <v>3.5</v>
      </c>
      <c r="AX19" s="217">
        <v>2.7</v>
      </c>
      <c r="AY19" s="217">
        <v>2.5</v>
      </c>
      <c r="AZ19" s="217">
        <v>2.3</v>
      </c>
      <c r="BA19" s="217">
        <v>2.3</v>
      </c>
      <c r="BB19" s="217">
        <v>2.5</v>
      </c>
      <c r="BC19" s="217">
        <v>1.8</v>
      </c>
      <c r="BD19" s="217">
        <v>1.8</v>
      </c>
      <c r="BE19" s="217">
        <v>2.8</v>
      </c>
      <c r="BF19" s="217">
        <v>2.3</v>
      </c>
      <c r="BG19" s="217">
        <v>2.4</v>
      </c>
      <c r="BH19" s="217">
        <v>1.9</v>
      </c>
      <c r="BI19" s="220">
        <v>2</v>
      </c>
      <c r="BJ19" s="217">
        <v>1.9</v>
      </c>
      <c r="BK19" s="217">
        <v>1.2</v>
      </c>
      <c r="BL19" s="217">
        <v>2.1</v>
      </c>
      <c r="BM19" s="217">
        <v>1.8</v>
      </c>
      <c r="BN19" s="220">
        <v>2</v>
      </c>
      <c r="BO19" s="217">
        <v>2.1</v>
      </c>
      <c r="BP19" s="220">
        <v>1</v>
      </c>
      <c r="BQ19" s="217">
        <v>2.6</v>
      </c>
      <c r="BR19" s="217">
        <v>1.8</v>
      </c>
    </row>
    <row r="20" spans="1:70" ht="12.75">
      <c r="A20" s="629" t="s">
        <v>140</v>
      </c>
      <c r="B20" s="217">
        <v>0.7</v>
      </c>
      <c r="C20" s="217">
        <v>2.1</v>
      </c>
      <c r="D20" s="217">
        <v>2.2</v>
      </c>
      <c r="E20" s="217">
        <v>0.7</v>
      </c>
      <c r="F20" s="217">
        <v>2.2</v>
      </c>
      <c r="G20" s="217">
        <v>1</v>
      </c>
      <c r="H20" s="217">
        <v>2</v>
      </c>
      <c r="I20" s="217">
        <v>1.4</v>
      </c>
      <c r="J20" s="217">
        <v>2.4</v>
      </c>
      <c r="K20" s="217">
        <v>2.1</v>
      </c>
      <c r="L20" s="217">
        <v>2.4</v>
      </c>
      <c r="M20" s="217">
        <v>3.4</v>
      </c>
      <c r="N20" s="220">
        <v>2</v>
      </c>
      <c r="O20" s="217">
        <v>3.5</v>
      </c>
      <c r="P20" s="217">
        <v>1.8</v>
      </c>
      <c r="Q20" s="218">
        <v>2.8</v>
      </c>
      <c r="R20" s="218">
        <v>2.5</v>
      </c>
      <c r="S20" s="218">
        <v>2.7</v>
      </c>
      <c r="T20" s="198">
        <v>3</v>
      </c>
      <c r="U20" s="218">
        <v>2.2</v>
      </c>
      <c r="V20" s="218">
        <v>3.4</v>
      </c>
      <c r="W20" s="198">
        <v>1.9</v>
      </c>
      <c r="X20" s="218">
        <v>2.2</v>
      </c>
      <c r="Y20" s="218">
        <v>4.1</v>
      </c>
      <c r="Z20" s="198">
        <v>2.2</v>
      </c>
      <c r="AA20" s="218">
        <v>2.6</v>
      </c>
      <c r="AB20" s="218">
        <v>2.4</v>
      </c>
      <c r="AC20" s="218">
        <v>3.1</v>
      </c>
      <c r="AD20" s="218">
        <v>2.8</v>
      </c>
      <c r="AE20" s="218">
        <v>2.9</v>
      </c>
      <c r="AF20" s="198">
        <v>2</v>
      </c>
      <c r="AG20" s="218">
        <v>3.3</v>
      </c>
      <c r="AH20" s="218">
        <v>1.6</v>
      </c>
      <c r="AI20" s="220">
        <v>2.5</v>
      </c>
      <c r="AJ20" s="220">
        <v>3.1</v>
      </c>
      <c r="AK20" s="220">
        <v>2.5</v>
      </c>
      <c r="AL20" s="220">
        <v>2.6</v>
      </c>
      <c r="AM20" s="220">
        <v>1.8</v>
      </c>
      <c r="AN20" s="220">
        <v>2.3</v>
      </c>
      <c r="AO20" s="220">
        <v>2.8</v>
      </c>
      <c r="AP20" s="220">
        <v>1.4</v>
      </c>
      <c r="AQ20" s="220">
        <v>3.2</v>
      </c>
      <c r="AR20" s="220">
        <v>2.7</v>
      </c>
      <c r="AS20" s="220">
        <v>2.4</v>
      </c>
      <c r="AT20" s="220">
        <v>3.3</v>
      </c>
      <c r="AU20" s="217">
        <v>2.2</v>
      </c>
      <c r="AV20" s="220">
        <v>3</v>
      </c>
      <c r="AW20" s="217">
        <v>3.2</v>
      </c>
      <c r="AX20" s="217">
        <v>2.3</v>
      </c>
      <c r="AY20" s="217">
        <v>2.1</v>
      </c>
      <c r="AZ20" s="217">
        <v>2.2</v>
      </c>
      <c r="BA20" s="217">
        <v>2.6</v>
      </c>
      <c r="BB20" s="217">
        <v>3.1</v>
      </c>
      <c r="BC20" s="217">
        <v>2.6</v>
      </c>
      <c r="BD20" s="217">
        <v>2.2</v>
      </c>
      <c r="BE20" s="217">
        <v>4.1</v>
      </c>
      <c r="BF20" s="217">
        <v>3.2</v>
      </c>
      <c r="BG20" s="217">
        <v>3.8</v>
      </c>
      <c r="BH20" s="217">
        <v>2.5</v>
      </c>
      <c r="BI20" s="220">
        <v>3</v>
      </c>
      <c r="BJ20" s="217">
        <v>3.1</v>
      </c>
      <c r="BK20" s="217">
        <v>1.9</v>
      </c>
      <c r="BL20" s="217">
        <v>2.7</v>
      </c>
      <c r="BM20" s="217">
        <v>3.1</v>
      </c>
      <c r="BN20" s="217">
        <v>2.8</v>
      </c>
      <c r="BO20" s="217">
        <v>3.1</v>
      </c>
      <c r="BP20" s="217">
        <v>1.6</v>
      </c>
      <c r="BQ20" s="217">
        <v>3.5</v>
      </c>
      <c r="BR20" s="217">
        <v>2.5</v>
      </c>
    </row>
    <row r="21" spans="2:22" ht="12.75">
      <c r="B21" s="226"/>
      <c r="C21" s="226"/>
      <c r="D21" s="226"/>
      <c r="E21" s="226"/>
      <c r="F21" s="226"/>
      <c r="G21" s="226"/>
      <c r="H21" s="226"/>
      <c r="I21" s="226"/>
      <c r="J21" s="226"/>
      <c r="K21" s="226"/>
      <c r="L21" s="226"/>
      <c r="M21" s="226"/>
      <c r="N21" s="226"/>
      <c r="O21" s="226"/>
      <c r="P21" s="226"/>
      <c r="Q21" s="226"/>
      <c r="R21" s="226"/>
      <c r="S21" s="226"/>
      <c r="T21" s="226"/>
      <c r="U21" s="226"/>
      <c r="V21" s="226"/>
    </row>
    <row r="22" spans="1:21" ht="12.75">
      <c r="A22" s="632" t="s">
        <v>309</v>
      </c>
      <c r="B22" s="226"/>
      <c r="C22" s="226"/>
      <c r="D22" s="226"/>
      <c r="E22" s="226"/>
      <c r="F22" s="226"/>
      <c r="G22" s="226"/>
      <c r="H22" s="226"/>
      <c r="I22" s="226"/>
      <c r="J22" s="226"/>
      <c r="K22" s="226"/>
      <c r="L22" s="226"/>
      <c r="M22" s="226"/>
      <c r="N22" s="226"/>
      <c r="O22" s="226"/>
      <c r="P22" s="226"/>
      <c r="Q22" s="226"/>
      <c r="R22" s="226"/>
      <c r="T22" s="226"/>
      <c r="U22" s="226"/>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87" zoomScaleNormal="87" zoomScalePageLayoutView="0" workbookViewId="0" topLeftCell="C1">
      <selection activeCell="S16" sqref="S16"/>
    </sheetView>
  </sheetViews>
  <sheetFormatPr defaultColWidth="9.140625" defaultRowHeight="12.75"/>
  <sheetData>
    <row r="20" ht="13.5" thickBot="1"/>
    <row r="21" spans="3:13" ht="118.5" customHeight="1" thickBot="1">
      <c r="C21" s="647" t="s">
        <v>65</v>
      </c>
      <c r="D21" s="648"/>
      <c r="E21" s="648"/>
      <c r="F21" s="648"/>
      <c r="G21" s="648"/>
      <c r="H21" s="648"/>
      <c r="I21" s="648"/>
      <c r="J21" s="648"/>
      <c r="K21" s="648"/>
      <c r="L21" s="648"/>
      <c r="M21" s="649"/>
    </row>
    <row r="22" ht="23.25" customHeight="1"/>
    <row r="23" ht="33.75" customHeight="1" thickBot="1"/>
    <row r="24" spans="3:13" ht="133.5" customHeight="1" thickBot="1">
      <c r="C24" s="650" t="s">
        <v>66</v>
      </c>
      <c r="D24" s="651"/>
      <c r="E24" s="651"/>
      <c r="F24" s="651"/>
      <c r="G24" s="651"/>
      <c r="H24" s="651"/>
      <c r="I24" s="651"/>
      <c r="J24" s="651"/>
      <c r="K24" s="651"/>
      <c r="L24" s="651"/>
      <c r="M24" s="652"/>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E72"/>
  <sheetViews>
    <sheetView showGridLines="0" zoomScale="142" zoomScaleNormal="142" zoomScaleSheetLayoutView="100" zoomScalePageLayoutView="0" workbookViewId="0" topLeftCell="A1">
      <pane xSplit="3" ySplit="10" topLeftCell="AY44" activePane="bottomRight" state="frozen"/>
      <selection pane="topLeft" activeCell="A1" sqref="A1"/>
      <selection pane="topRight" activeCell="D1" sqref="D1"/>
      <selection pane="bottomLeft" activeCell="A5" sqref="A5"/>
      <selection pane="bottomRight" activeCell="B51" sqref="B51"/>
    </sheetView>
  </sheetViews>
  <sheetFormatPr defaultColWidth="8.57421875" defaultRowHeight="12.75"/>
  <cols>
    <col min="1" max="1" width="3.421875" style="488" customWidth="1"/>
    <col min="2" max="2" width="54.421875" style="488" customWidth="1"/>
    <col min="3" max="3" width="0.9921875" style="488" customWidth="1"/>
    <col min="4" max="8" width="9.00390625" style="488" customWidth="1"/>
    <col min="9" max="9" width="0.9921875" style="488" customWidth="1"/>
    <col min="10" max="14" width="9.421875" style="488" customWidth="1"/>
    <col min="15" max="15" width="0.9921875" style="488" customWidth="1"/>
    <col min="16" max="20" width="9.421875" style="488" customWidth="1"/>
    <col min="21" max="21" width="0.9921875" style="488" customWidth="1"/>
    <col min="22" max="26" width="8.8515625" style="488" customWidth="1"/>
    <col min="27" max="27" width="0.9921875" style="488" customWidth="1"/>
    <col min="28" max="32" width="9.421875" style="488" customWidth="1"/>
    <col min="33" max="33" width="0.9921875" style="488" customWidth="1"/>
    <col min="34" max="34" width="7.57421875" style="488" customWidth="1"/>
    <col min="35" max="36" width="7.57421875" style="470" customWidth="1"/>
    <col min="37" max="38" width="7.57421875" style="488" customWidth="1"/>
    <col min="39" max="39" width="7.57421875" style="177" customWidth="1"/>
    <col min="40" max="40" width="8.57421875" style="177" customWidth="1"/>
    <col min="41" max="41" width="8.57421875" style="488" customWidth="1"/>
    <col min="42" max="48" width="8.57421875" style="471" customWidth="1"/>
    <col min="49" max="55" width="8.57421875" style="376" customWidth="1"/>
    <col min="56" max="56" width="10.8515625" style="471" bestFit="1" customWidth="1"/>
    <col min="57" max="16384" width="8.57421875" style="488" customWidth="1"/>
  </cols>
  <sheetData>
    <row r="2" spans="1:56" s="468" customFormat="1" ht="27.75" customHeight="1">
      <c r="A2" s="465"/>
      <c r="B2" s="575" t="s">
        <v>67</v>
      </c>
      <c r="C2" s="467"/>
      <c r="I2" s="469"/>
      <c r="O2" s="469"/>
      <c r="U2" s="469"/>
      <c r="AA2" s="469"/>
      <c r="AG2" s="469"/>
      <c r="AI2" s="470"/>
      <c r="AJ2" s="470"/>
      <c r="AM2" s="178"/>
      <c r="AN2" s="178"/>
      <c r="AP2" s="471"/>
      <c r="AQ2" s="471"/>
      <c r="AR2" s="471"/>
      <c r="AS2" s="471"/>
      <c r="AT2" s="471"/>
      <c r="AU2" s="471"/>
      <c r="AV2" s="471"/>
      <c r="AW2" s="376"/>
      <c r="AX2" s="376"/>
      <c r="AY2" s="376"/>
      <c r="AZ2" s="376"/>
      <c r="BA2" s="376"/>
      <c r="BB2" s="376"/>
      <c r="BC2" s="376"/>
      <c r="BD2" s="471"/>
    </row>
    <row r="3" spans="1:56" s="468" customFormat="1" ht="15">
      <c r="A3" s="465"/>
      <c r="B3" s="467"/>
      <c r="C3" s="467"/>
      <c r="I3" s="469"/>
      <c r="O3" s="469"/>
      <c r="U3" s="469"/>
      <c r="AA3" s="469"/>
      <c r="AG3" s="469"/>
      <c r="AI3" s="470"/>
      <c r="AJ3" s="470"/>
      <c r="AM3" s="178"/>
      <c r="AN3" s="178"/>
      <c r="AP3" s="471"/>
      <c r="AQ3" s="471"/>
      <c r="AR3" s="471"/>
      <c r="AS3" s="471"/>
      <c r="AT3" s="471"/>
      <c r="AU3" s="471"/>
      <c r="AV3" s="471"/>
      <c r="AW3" s="376"/>
      <c r="AX3" s="376"/>
      <c r="AY3" s="376"/>
      <c r="AZ3" s="376"/>
      <c r="BA3" s="376"/>
      <c r="BB3" s="376"/>
      <c r="BC3" s="376"/>
      <c r="BD3" s="471"/>
    </row>
    <row r="4" spans="2:56" s="471" customFormat="1" ht="12" customHeight="1">
      <c r="B4" s="465" t="s">
        <v>68</v>
      </c>
      <c r="C4" s="465"/>
      <c r="D4" s="472" t="s">
        <v>0</v>
      </c>
      <c r="E4" s="472" t="s">
        <v>1</v>
      </c>
      <c r="F4" s="472" t="s">
        <v>2</v>
      </c>
      <c r="G4" s="472" t="s">
        <v>3</v>
      </c>
      <c r="H4" s="472">
        <v>2014</v>
      </c>
      <c r="I4" s="473"/>
      <c r="J4" s="472" t="s">
        <v>4</v>
      </c>
      <c r="K4" s="472" t="s">
        <v>5</v>
      </c>
      <c r="L4" s="472" t="s">
        <v>6</v>
      </c>
      <c r="M4" s="472" t="s">
        <v>7</v>
      </c>
      <c r="N4" s="472">
        <v>2015</v>
      </c>
      <c r="O4" s="474"/>
      <c r="P4" s="472" t="s">
        <v>8</v>
      </c>
      <c r="Q4" s="472" t="s">
        <v>9</v>
      </c>
      <c r="R4" s="472" t="s">
        <v>10</v>
      </c>
      <c r="S4" s="472" t="s">
        <v>11</v>
      </c>
      <c r="T4" s="472">
        <v>2016</v>
      </c>
      <c r="U4" s="475"/>
      <c r="V4" s="472" t="s">
        <v>16</v>
      </c>
      <c r="W4" s="472" t="s">
        <v>17</v>
      </c>
      <c r="X4" s="472" t="s">
        <v>20</v>
      </c>
      <c r="Y4" s="472" t="s">
        <v>21</v>
      </c>
      <c r="Z4" s="472">
        <v>2017</v>
      </c>
      <c r="AA4" s="474"/>
      <c r="AB4" s="472" t="s">
        <v>27</v>
      </c>
      <c r="AC4" s="472" t="s">
        <v>29</v>
      </c>
      <c r="AD4" s="472" t="s">
        <v>32</v>
      </c>
      <c r="AE4" s="472" t="s">
        <v>35</v>
      </c>
      <c r="AF4" s="472">
        <v>2018</v>
      </c>
      <c r="AG4" s="475"/>
      <c r="AH4" s="472" t="s">
        <v>39</v>
      </c>
      <c r="AI4" s="472" t="s">
        <v>40</v>
      </c>
      <c r="AJ4" s="472" t="s">
        <v>44</v>
      </c>
      <c r="AK4" s="472" t="s">
        <v>45</v>
      </c>
      <c r="AL4" s="472">
        <v>2019</v>
      </c>
      <c r="AM4" s="179" t="s">
        <v>46</v>
      </c>
      <c r="AN4" s="179" t="s">
        <v>47</v>
      </c>
      <c r="AO4" s="179" t="s">
        <v>48</v>
      </c>
      <c r="AP4" s="472" t="s">
        <v>49</v>
      </c>
      <c r="AQ4" s="472">
        <v>2020</v>
      </c>
      <c r="AR4" s="472" t="s">
        <v>51</v>
      </c>
      <c r="AS4" s="472" t="s">
        <v>54</v>
      </c>
      <c r="AT4" s="472" t="s">
        <v>55</v>
      </c>
      <c r="AU4" s="472" t="s">
        <v>56</v>
      </c>
      <c r="AV4" s="472">
        <v>2021</v>
      </c>
      <c r="AW4" s="179" t="s">
        <v>57</v>
      </c>
      <c r="AX4" s="179" t="s">
        <v>58</v>
      </c>
      <c r="AY4" s="179" t="s">
        <v>59</v>
      </c>
      <c r="AZ4" s="179" t="s">
        <v>60</v>
      </c>
      <c r="BA4" s="179">
        <v>2022</v>
      </c>
      <c r="BB4" s="179" t="s">
        <v>62</v>
      </c>
      <c r="BC4" s="179" t="s">
        <v>63</v>
      </c>
      <c r="BD4" s="472" t="s">
        <v>64</v>
      </c>
    </row>
    <row r="5" spans="2:56" s="471" customFormat="1" ht="12" customHeight="1">
      <c r="B5" s="106" t="s">
        <v>69</v>
      </c>
      <c r="C5" s="476"/>
      <c r="D5" s="477">
        <v>7041</v>
      </c>
      <c r="E5" s="478">
        <v>6787</v>
      </c>
      <c r="F5" s="478">
        <v>6994</v>
      </c>
      <c r="G5" s="478">
        <v>6624</v>
      </c>
      <c r="H5" s="478">
        <v>6862</v>
      </c>
      <c r="I5" s="479"/>
      <c r="J5" s="478">
        <v>5818</v>
      </c>
      <c r="K5" s="478">
        <v>6043</v>
      </c>
      <c r="L5" s="478">
        <v>5259</v>
      </c>
      <c r="M5" s="478">
        <v>4892</v>
      </c>
      <c r="N5" s="478">
        <v>5495</v>
      </c>
      <c r="O5" s="479"/>
      <c r="P5" s="478">
        <v>4672</v>
      </c>
      <c r="Q5" s="478">
        <v>4729</v>
      </c>
      <c r="R5" s="478">
        <v>4772</v>
      </c>
      <c r="S5" s="478">
        <v>5277</v>
      </c>
      <c r="T5" s="478">
        <v>4863</v>
      </c>
      <c r="U5" s="479"/>
      <c r="V5" s="478">
        <v>5831</v>
      </c>
      <c r="W5" s="478">
        <v>5662</v>
      </c>
      <c r="X5" s="478">
        <v>6349</v>
      </c>
      <c r="Y5" s="478">
        <v>6808</v>
      </c>
      <c r="Z5" s="478">
        <v>6166</v>
      </c>
      <c r="AA5" s="479"/>
      <c r="AB5" s="478">
        <v>6961</v>
      </c>
      <c r="AC5" s="478">
        <v>6872</v>
      </c>
      <c r="AD5" s="478">
        <v>6105</v>
      </c>
      <c r="AE5" s="478">
        <v>6172</v>
      </c>
      <c r="AF5" s="478">
        <v>6523</v>
      </c>
      <c r="AG5" s="479"/>
      <c r="AH5" s="478">
        <v>6214.92</v>
      </c>
      <c r="AI5" s="146">
        <v>6113</v>
      </c>
      <c r="AJ5" s="146">
        <v>5802</v>
      </c>
      <c r="AK5" s="146">
        <v>5881</v>
      </c>
      <c r="AL5" s="146">
        <v>5881</v>
      </c>
      <c r="AM5" s="146">
        <v>5637</v>
      </c>
      <c r="AN5" s="146">
        <v>5356</v>
      </c>
      <c r="AO5" s="146">
        <v>6519</v>
      </c>
      <c r="AP5" s="480">
        <v>7166.453125</v>
      </c>
      <c r="AQ5" s="480">
        <v>6180.6259842519685</v>
      </c>
      <c r="AR5" s="480">
        <v>8504</v>
      </c>
      <c r="AS5" s="480">
        <v>9700</v>
      </c>
      <c r="AT5" s="480">
        <v>9371.838461538462</v>
      </c>
      <c r="AU5" s="480">
        <v>9699.15</v>
      </c>
      <c r="AV5" s="480">
        <v>9317.49</v>
      </c>
      <c r="AW5" s="480">
        <v>9997</v>
      </c>
      <c r="AX5" s="480">
        <v>9512.683333333332</v>
      </c>
      <c r="AY5" s="480">
        <v>7745.084615384615</v>
      </c>
      <c r="AZ5" s="480">
        <v>8001</v>
      </c>
      <c r="BA5" s="480">
        <v>8797</v>
      </c>
      <c r="BB5" s="480">
        <v>8927</v>
      </c>
      <c r="BC5" s="480">
        <v>8464</v>
      </c>
      <c r="BD5" s="434">
        <v>8355.8984375</v>
      </c>
    </row>
    <row r="6" spans="2:56" s="471" customFormat="1" ht="12" customHeight="1">
      <c r="B6" s="106" t="s">
        <v>70</v>
      </c>
      <c r="C6" s="476"/>
      <c r="D6" s="107">
        <v>20.48</v>
      </c>
      <c r="E6" s="108">
        <v>19.62</v>
      </c>
      <c r="F6" s="108">
        <v>19.76</v>
      </c>
      <c r="G6" s="108">
        <v>16.5</v>
      </c>
      <c r="H6" s="108">
        <v>19.08</v>
      </c>
      <c r="I6" s="481"/>
      <c r="J6" s="108">
        <v>16.71</v>
      </c>
      <c r="K6" s="108">
        <v>16.39</v>
      </c>
      <c r="L6" s="108">
        <v>14.91</v>
      </c>
      <c r="M6" s="108">
        <v>14.77</v>
      </c>
      <c r="N6" s="108">
        <v>15.68</v>
      </c>
      <c r="O6" s="481"/>
      <c r="P6" s="108">
        <v>14.85</v>
      </c>
      <c r="Q6" s="108">
        <v>16.78</v>
      </c>
      <c r="R6" s="108">
        <v>19.61</v>
      </c>
      <c r="S6" s="108">
        <v>17.19</v>
      </c>
      <c r="T6" s="108">
        <v>17.14</v>
      </c>
      <c r="U6" s="481"/>
      <c r="V6" s="108">
        <v>17.42</v>
      </c>
      <c r="W6" s="108">
        <v>17.21</v>
      </c>
      <c r="X6" s="108">
        <v>16.84</v>
      </c>
      <c r="Y6" s="108">
        <v>16.73</v>
      </c>
      <c r="Z6" s="108">
        <v>17.05</v>
      </c>
      <c r="AA6" s="481"/>
      <c r="AB6" s="108">
        <v>16.77</v>
      </c>
      <c r="AC6" s="108">
        <v>16.53</v>
      </c>
      <c r="AD6" s="108">
        <v>15.02</v>
      </c>
      <c r="AE6" s="108">
        <v>14.54</v>
      </c>
      <c r="AF6" s="108">
        <v>15.71</v>
      </c>
      <c r="AG6" s="481"/>
      <c r="AH6" s="108">
        <v>15.57</v>
      </c>
      <c r="AI6" s="147">
        <v>14.88</v>
      </c>
      <c r="AJ6" s="147">
        <v>16.98</v>
      </c>
      <c r="AK6" s="147">
        <v>17.32</v>
      </c>
      <c r="AL6" s="147">
        <v>17.32</v>
      </c>
      <c r="AM6" s="147">
        <v>16.9</v>
      </c>
      <c r="AN6" s="147">
        <v>16.38</v>
      </c>
      <c r="AO6" s="147">
        <v>24.26</v>
      </c>
      <c r="AP6" s="482">
        <v>24.390000000000004</v>
      </c>
      <c r="AQ6" s="482">
        <v>20.544999995275585</v>
      </c>
      <c r="AR6" s="482">
        <v>26.26</v>
      </c>
      <c r="AS6" s="482">
        <v>26.69</v>
      </c>
      <c r="AT6" s="482">
        <v>24.364076923076926</v>
      </c>
      <c r="AU6" s="482">
        <v>23.333984375</v>
      </c>
      <c r="AV6" s="482">
        <v>25.135592885375495</v>
      </c>
      <c r="AW6" s="482">
        <v>24.01</v>
      </c>
      <c r="AX6" s="482">
        <v>22.60100001999999</v>
      </c>
      <c r="AY6" s="482">
        <v>19.22890625</v>
      </c>
      <c r="AZ6" s="482">
        <v>21.17</v>
      </c>
      <c r="BA6" s="482">
        <v>21.73</v>
      </c>
      <c r="BB6" s="482">
        <v>22.55</v>
      </c>
      <c r="BC6" s="482">
        <v>24.13</v>
      </c>
      <c r="BD6" s="435">
        <v>23.570625</v>
      </c>
    </row>
    <row r="7" spans="2:56" s="471" customFormat="1" ht="12" customHeight="1">
      <c r="B7" s="106" t="s">
        <v>71</v>
      </c>
      <c r="C7" s="476"/>
      <c r="D7" s="107">
        <v>3.06</v>
      </c>
      <c r="E7" s="108">
        <v>3.04</v>
      </c>
      <c r="F7" s="108">
        <v>3.15</v>
      </c>
      <c r="G7" s="108">
        <v>3.37</v>
      </c>
      <c r="H7" s="108">
        <v>3.15</v>
      </c>
      <c r="I7" s="481"/>
      <c r="J7" s="108">
        <v>3.73</v>
      </c>
      <c r="K7" s="108">
        <v>3.7</v>
      </c>
      <c r="L7" s="108">
        <v>3.77</v>
      </c>
      <c r="M7" s="108">
        <v>3.89</v>
      </c>
      <c r="N7" s="108">
        <v>3.77</v>
      </c>
      <c r="O7" s="481"/>
      <c r="P7" s="108">
        <v>3.96</v>
      </c>
      <c r="Q7" s="108">
        <v>3.87</v>
      </c>
      <c r="R7" s="108">
        <v>3.89</v>
      </c>
      <c r="S7" s="108">
        <v>4.06</v>
      </c>
      <c r="T7" s="108">
        <v>3.94</v>
      </c>
      <c r="U7" s="481"/>
      <c r="V7" s="108">
        <v>4.0584828125</v>
      </c>
      <c r="W7" s="108">
        <v>3.8306918032786883</v>
      </c>
      <c r="X7" s="108">
        <v>3.63</v>
      </c>
      <c r="Y7" s="108">
        <v>3.6</v>
      </c>
      <c r="Z7" s="108">
        <v>3.78</v>
      </c>
      <c r="AA7" s="481"/>
      <c r="AB7" s="108">
        <v>3.4009</v>
      </c>
      <c r="AC7" s="108">
        <v>3.58</v>
      </c>
      <c r="AD7" s="108">
        <v>3.7</v>
      </c>
      <c r="AE7" s="108">
        <v>3.78</v>
      </c>
      <c r="AF7" s="108">
        <v>3.6227</v>
      </c>
      <c r="AG7" s="481"/>
      <c r="AH7" s="108">
        <v>3.7883</v>
      </c>
      <c r="AI7" s="147">
        <v>3.81</v>
      </c>
      <c r="AJ7" s="147">
        <v>3.88</v>
      </c>
      <c r="AK7" s="147">
        <v>3.844</v>
      </c>
      <c r="AL7" s="147">
        <v>3.844</v>
      </c>
      <c r="AM7" s="147">
        <v>3.92</v>
      </c>
      <c r="AN7" s="147">
        <v>4.09</v>
      </c>
      <c r="AO7" s="147">
        <v>3.8</v>
      </c>
      <c r="AP7" s="482">
        <v>3.780351562500001</v>
      </c>
      <c r="AQ7" s="482">
        <v>3.8978243137254918</v>
      </c>
      <c r="AR7" s="482">
        <v>3.78</v>
      </c>
      <c r="AS7" s="482">
        <v>3.76</v>
      </c>
      <c r="AT7" s="482">
        <v>3.8739560606060612</v>
      </c>
      <c r="AU7" s="482">
        <v>4.042067187499999</v>
      </c>
      <c r="AV7" s="482">
        <v>3.86466771653543</v>
      </c>
      <c r="AW7" s="482">
        <v>4.126</v>
      </c>
      <c r="AX7" s="482">
        <v>4.3596661290322585</v>
      </c>
      <c r="AY7" s="482">
        <v>4.71394923076923</v>
      </c>
      <c r="AZ7" s="482">
        <v>4.64</v>
      </c>
      <c r="BA7" s="482">
        <v>4.46</v>
      </c>
      <c r="BB7" s="482">
        <v>4.39</v>
      </c>
      <c r="BC7" s="482">
        <v>4.17</v>
      </c>
      <c r="BD7" s="435">
        <v>4.1359953125</v>
      </c>
    </row>
    <row r="8" spans="2:56" s="471" customFormat="1" ht="12" customHeight="1">
      <c r="B8" s="106" t="s">
        <v>72</v>
      </c>
      <c r="C8" s="476"/>
      <c r="D8" s="107">
        <v>3.0344</v>
      </c>
      <c r="E8" s="108">
        <v>3.0473</v>
      </c>
      <c r="F8" s="108">
        <v>3.2973</v>
      </c>
      <c r="G8" s="108">
        <v>3.5072</v>
      </c>
      <c r="H8" s="108">
        <f>+G8</f>
        <v>3.5072</v>
      </c>
      <c r="I8" s="481"/>
      <c r="J8" s="108">
        <v>3.8125</v>
      </c>
      <c r="K8" s="108">
        <v>3.7645</v>
      </c>
      <c r="L8" s="108">
        <v>3.7754</v>
      </c>
      <c r="M8" s="108">
        <v>3.9011</v>
      </c>
      <c r="N8" s="108">
        <f>+M8</f>
        <v>3.9011</v>
      </c>
      <c r="O8" s="481"/>
      <c r="P8" s="108">
        <v>3.759</v>
      </c>
      <c r="Q8" s="108">
        <v>3.9803</v>
      </c>
      <c r="R8" s="108">
        <v>3.8558</v>
      </c>
      <c r="S8" s="108">
        <v>4.1793</v>
      </c>
      <c r="T8" s="108">
        <f>+S8</f>
        <v>4.1793</v>
      </c>
      <c r="U8" s="481"/>
      <c r="V8" s="108">
        <v>3.95</v>
      </c>
      <c r="W8" s="108">
        <v>3.71</v>
      </c>
      <c r="X8" s="108">
        <v>3.65</v>
      </c>
      <c r="Y8" s="108">
        <v>3.48</v>
      </c>
      <c r="Z8" s="108">
        <v>3.48</v>
      </c>
      <c r="AA8" s="481"/>
      <c r="AB8" s="108">
        <v>3.4139</v>
      </c>
      <c r="AC8" s="108">
        <v>3.74</v>
      </c>
      <c r="AD8" s="108">
        <v>3.68</v>
      </c>
      <c r="AE8" s="108">
        <v>3.7597</v>
      </c>
      <c r="AF8" s="108">
        <v>3.7597</v>
      </c>
      <c r="AG8" s="481"/>
      <c r="AH8" s="108">
        <v>3.8365</v>
      </c>
      <c r="AI8" s="147">
        <v>3.73</v>
      </c>
      <c r="AJ8" s="147">
        <v>4</v>
      </c>
      <c r="AK8" s="147">
        <v>3.7977</v>
      </c>
      <c r="AL8" s="147">
        <v>3.7977</v>
      </c>
      <c r="AM8" s="147">
        <v>4.15</v>
      </c>
      <c r="AN8" s="147">
        <v>3.98</v>
      </c>
      <c r="AO8" s="147">
        <v>3.87</v>
      </c>
      <c r="AP8" s="482">
        <v>3.7584</v>
      </c>
      <c r="AQ8" s="482">
        <v>3.7584</v>
      </c>
      <c r="AR8" s="482">
        <v>3.97</v>
      </c>
      <c r="AS8" s="482">
        <v>3.8</v>
      </c>
      <c r="AT8" s="482">
        <v>3.9925</v>
      </c>
      <c r="AU8" s="482">
        <v>4.06</v>
      </c>
      <c r="AV8" s="482">
        <v>4.06</v>
      </c>
      <c r="AW8" s="482">
        <v>4.1801</v>
      </c>
      <c r="AX8" s="482">
        <v>4.4825</v>
      </c>
      <c r="AY8" s="482">
        <v>4.9533</v>
      </c>
      <c r="AZ8" s="482">
        <v>4.4</v>
      </c>
      <c r="BA8" s="482">
        <v>4.4</v>
      </c>
      <c r="BB8" s="482">
        <v>4.29</v>
      </c>
      <c r="BC8" s="482">
        <v>4.11</v>
      </c>
      <c r="BD8" s="435">
        <v>4.3697</v>
      </c>
    </row>
    <row r="9" spans="1:48" ht="11.25">
      <c r="A9" s="483"/>
      <c r="B9" s="465"/>
      <c r="C9" s="465"/>
      <c r="D9" s="484"/>
      <c r="E9" s="485"/>
      <c r="F9" s="485"/>
      <c r="G9" s="485"/>
      <c r="H9" s="485"/>
      <c r="I9" s="486"/>
      <c r="J9" s="485"/>
      <c r="K9" s="485"/>
      <c r="L9" s="485"/>
      <c r="M9" s="485"/>
      <c r="N9" s="485"/>
      <c r="O9" s="486"/>
      <c r="P9" s="485"/>
      <c r="Q9" s="485"/>
      <c r="R9" s="485"/>
      <c r="S9" s="485"/>
      <c r="T9" s="485"/>
      <c r="U9" s="486"/>
      <c r="V9" s="485"/>
      <c r="W9" s="485"/>
      <c r="X9" s="485"/>
      <c r="Y9" s="485"/>
      <c r="Z9" s="485"/>
      <c r="AA9" s="486"/>
      <c r="AB9" s="485"/>
      <c r="AC9" s="485"/>
      <c r="AD9" s="485"/>
      <c r="AE9" s="485"/>
      <c r="AF9" s="485"/>
      <c r="AG9" s="486"/>
      <c r="AH9" s="485"/>
      <c r="AI9" s="487"/>
      <c r="AJ9" s="158"/>
      <c r="AK9" s="487"/>
      <c r="AL9" s="487"/>
      <c r="AS9" s="376"/>
      <c r="AT9" s="376"/>
      <c r="AU9" s="376"/>
      <c r="AV9" s="376"/>
    </row>
    <row r="10" spans="1:56" ht="11.25">
      <c r="A10" s="489"/>
      <c r="B10" s="465" t="s">
        <v>73</v>
      </c>
      <c r="C10" s="465"/>
      <c r="D10" s="490" t="s">
        <v>0</v>
      </c>
      <c r="E10" s="491" t="s">
        <v>1</v>
      </c>
      <c r="F10" s="491" t="s">
        <v>2</v>
      </c>
      <c r="G10" s="491" t="s">
        <v>3</v>
      </c>
      <c r="H10" s="491">
        <v>2014</v>
      </c>
      <c r="I10" s="492"/>
      <c r="J10" s="491" t="s">
        <v>4</v>
      </c>
      <c r="K10" s="491" t="s">
        <v>5</v>
      </c>
      <c r="L10" s="491" t="s">
        <v>6</v>
      </c>
      <c r="M10" s="491" t="s">
        <v>7</v>
      </c>
      <c r="N10" s="491">
        <v>2015</v>
      </c>
      <c r="O10" s="492"/>
      <c r="P10" s="491" t="s">
        <v>8</v>
      </c>
      <c r="Q10" s="491" t="s">
        <v>9</v>
      </c>
      <c r="R10" s="491" t="s">
        <v>10</v>
      </c>
      <c r="S10" s="491" t="s">
        <v>11</v>
      </c>
      <c r="T10" s="491">
        <v>2016</v>
      </c>
      <c r="U10" s="492"/>
      <c r="V10" s="491" t="s">
        <v>16</v>
      </c>
      <c r="W10" s="491" t="s">
        <v>17</v>
      </c>
      <c r="X10" s="491" t="s">
        <v>20</v>
      </c>
      <c r="Y10" s="491" t="s">
        <v>21</v>
      </c>
      <c r="Z10" s="491">
        <v>2017</v>
      </c>
      <c r="AA10" s="492"/>
      <c r="AB10" s="491" t="s">
        <v>27</v>
      </c>
      <c r="AC10" s="491" t="s">
        <v>29</v>
      </c>
      <c r="AD10" s="491" t="s">
        <v>32</v>
      </c>
      <c r="AE10" s="491" t="s">
        <v>35</v>
      </c>
      <c r="AF10" s="491">
        <v>2018</v>
      </c>
      <c r="AG10" s="492"/>
      <c r="AH10" s="491" t="s">
        <v>39</v>
      </c>
      <c r="AI10" s="491" t="s">
        <v>40</v>
      </c>
      <c r="AJ10" s="472" t="s">
        <v>44</v>
      </c>
      <c r="AK10" s="491" t="s">
        <v>45</v>
      </c>
      <c r="AL10" s="491">
        <v>2019</v>
      </c>
      <c r="AM10" s="179" t="s">
        <v>46</v>
      </c>
      <c r="AN10" s="179" t="s">
        <v>47</v>
      </c>
      <c r="AO10" s="179" t="s">
        <v>48</v>
      </c>
      <c r="AP10" s="491" t="s">
        <v>49</v>
      </c>
      <c r="AQ10" s="491">
        <v>2020</v>
      </c>
      <c r="AR10" s="491" t="s">
        <v>51</v>
      </c>
      <c r="AS10" s="368" t="s">
        <v>54</v>
      </c>
      <c r="AT10" s="368" t="s">
        <v>55</v>
      </c>
      <c r="AU10" s="368" t="s">
        <v>56</v>
      </c>
      <c r="AV10" s="368">
        <v>2021</v>
      </c>
      <c r="AW10" s="179" t="s">
        <v>57</v>
      </c>
      <c r="AX10" s="179" t="s">
        <v>58</v>
      </c>
      <c r="AY10" s="179" t="s">
        <v>59</v>
      </c>
      <c r="AZ10" s="179" t="s">
        <v>60</v>
      </c>
      <c r="BA10" s="179">
        <v>2022</v>
      </c>
      <c r="BB10" s="179" t="s">
        <v>377</v>
      </c>
      <c r="BC10" s="179" t="s">
        <v>378</v>
      </c>
      <c r="BD10" s="472" t="s">
        <v>379</v>
      </c>
    </row>
    <row r="11" spans="1:56" s="500" customFormat="1" ht="12" customHeight="1">
      <c r="A11" s="493"/>
      <c r="B11" s="494" t="s">
        <v>74</v>
      </c>
      <c r="C11" s="495"/>
      <c r="D11" s="496">
        <v>4650</v>
      </c>
      <c r="E11" s="497">
        <v>4878</v>
      </c>
      <c r="F11" s="497">
        <v>5188</v>
      </c>
      <c r="G11" s="497">
        <v>5776</v>
      </c>
      <c r="H11" s="497">
        <v>20492</v>
      </c>
      <c r="I11" s="498"/>
      <c r="J11" s="497">
        <v>4731</v>
      </c>
      <c r="K11" s="497">
        <v>5329</v>
      </c>
      <c r="L11" s="497">
        <v>4800</v>
      </c>
      <c r="M11" s="497">
        <f>N11-SUM(J11:L11)</f>
        <v>5148</v>
      </c>
      <c r="N11" s="497">
        <v>20008</v>
      </c>
      <c r="O11" s="498"/>
      <c r="P11" s="497">
        <v>3912</v>
      </c>
      <c r="Q11" s="497">
        <v>4544</v>
      </c>
      <c r="R11" s="497">
        <v>4685</v>
      </c>
      <c r="S11" s="497">
        <v>6015</v>
      </c>
      <c r="T11" s="497">
        <v>19156</v>
      </c>
      <c r="U11" s="498"/>
      <c r="V11" s="497">
        <v>4911</v>
      </c>
      <c r="W11" s="497">
        <f>9713-4911</f>
        <v>4802</v>
      </c>
      <c r="X11" s="497">
        <v>4774</v>
      </c>
      <c r="Y11" s="497">
        <f>20358-V11-W11-X11</f>
        <v>5871</v>
      </c>
      <c r="Z11" s="497">
        <f aca="true" t="shared" si="0" ref="Z11:Z37">V11+W11+X11+Y11</f>
        <v>20358</v>
      </c>
      <c r="AA11" s="498"/>
      <c r="AB11" s="497">
        <v>4266</v>
      </c>
      <c r="AC11" s="497">
        <v>5157</v>
      </c>
      <c r="AD11" s="497">
        <v>5364</v>
      </c>
      <c r="AE11" s="497">
        <v>5739</v>
      </c>
      <c r="AF11" s="497">
        <v>20526</v>
      </c>
      <c r="AG11" s="498"/>
      <c r="AH11" s="497">
        <v>5488</v>
      </c>
      <c r="AI11" s="356">
        <f>11228-5488</f>
        <v>5740</v>
      </c>
      <c r="AJ11" s="356">
        <f>16869-5488-5740</f>
        <v>5641</v>
      </c>
      <c r="AK11" s="356">
        <v>5854</v>
      </c>
      <c r="AL11" s="356">
        <v>22723</v>
      </c>
      <c r="AM11" s="356">
        <v>5299</v>
      </c>
      <c r="AN11" s="356">
        <v>5649</v>
      </c>
      <c r="AO11" s="356">
        <v>5632</v>
      </c>
      <c r="AP11" s="499">
        <v>7052</v>
      </c>
      <c r="AQ11" s="499">
        <v>23632</v>
      </c>
      <c r="AR11" s="356">
        <v>6745</v>
      </c>
      <c r="AS11" s="356">
        <v>7761</v>
      </c>
      <c r="AT11" s="356">
        <v>7229</v>
      </c>
      <c r="AU11" s="356">
        <v>8068</v>
      </c>
      <c r="AV11" s="356">
        <v>29803</v>
      </c>
      <c r="AW11" s="356">
        <v>8993</v>
      </c>
      <c r="AX11" s="356">
        <v>8933</v>
      </c>
      <c r="AY11" s="356">
        <v>7770</v>
      </c>
      <c r="AZ11" s="356">
        <f>BA11-AY11-AX11-AW11</f>
        <v>8151</v>
      </c>
      <c r="BA11" s="356">
        <v>33847</v>
      </c>
      <c r="BB11" s="356">
        <v>9585</v>
      </c>
      <c r="BC11" s="356">
        <v>8172</v>
      </c>
      <c r="BD11" s="273">
        <v>7891</v>
      </c>
    </row>
    <row r="12" spans="1:56" ht="12" customHeight="1">
      <c r="A12" s="501"/>
      <c r="B12" s="572" t="s">
        <v>12</v>
      </c>
      <c r="C12" s="502"/>
      <c r="D12" s="503">
        <v>3800</v>
      </c>
      <c r="E12" s="504">
        <v>3927</v>
      </c>
      <c r="F12" s="504">
        <v>4116</v>
      </c>
      <c r="G12" s="504">
        <v>4790</v>
      </c>
      <c r="H12" s="504">
        <v>16633</v>
      </c>
      <c r="I12" s="505"/>
      <c r="J12" s="504">
        <v>3767</v>
      </c>
      <c r="K12" s="504">
        <v>4325</v>
      </c>
      <c r="L12" s="504">
        <v>3681</v>
      </c>
      <c r="M12" s="504">
        <v>4166</v>
      </c>
      <c r="N12" s="504">
        <v>15939</v>
      </c>
      <c r="O12" s="505"/>
      <c r="P12" s="504">
        <v>2979</v>
      </c>
      <c r="Q12" s="504">
        <v>3561</v>
      </c>
      <c r="R12" s="504">
        <v>3744</v>
      </c>
      <c r="S12" s="504">
        <v>4828</v>
      </c>
      <c r="T12" s="504">
        <v>15112</v>
      </c>
      <c r="U12" s="505"/>
      <c r="V12" s="504">
        <v>3896</v>
      </c>
      <c r="W12" s="504">
        <f>7701-3896</f>
        <v>3805</v>
      </c>
      <c r="X12" s="504">
        <f>11433-3896-3805</f>
        <v>3732</v>
      </c>
      <c r="Y12" s="504">
        <f>16024-V12-W12-X12</f>
        <v>4591</v>
      </c>
      <c r="Z12" s="504">
        <f t="shared" si="0"/>
        <v>16024</v>
      </c>
      <c r="AA12" s="505"/>
      <c r="AB12" s="504">
        <v>3206</v>
      </c>
      <c r="AC12" s="504">
        <v>3983</v>
      </c>
      <c r="AD12" s="504">
        <f>11317-3206-3983</f>
        <v>4128</v>
      </c>
      <c r="AE12" s="504">
        <v>4440</v>
      </c>
      <c r="AF12" s="504">
        <v>15757</v>
      </c>
      <c r="AG12" s="505"/>
      <c r="AH12" s="504">
        <v>4316</v>
      </c>
      <c r="AI12" s="397">
        <f>8831-4316</f>
        <v>4515</v>
      </c>
      <c r="AJ12" s="397">
        <f>13050-4316-4515</f>
        <v>4219</v>
      </c>
      <c r="AK12" s="397">
        <v>4633</v>
      </c>
      <c r="AL12" s="397">
        <v>17683</v>
      </c>
      <c r="AM12" s="504">
        <v>4225</v>
      </c>
      <c r="AN12" s="504">
        <v>4672</v>
      </c>
      <c r="AO12" s="504">
        <v>4463</v>
      </c>
      <c r="AP12" s="506">
        <v>5966</v>
      </c>
      <c r="AQ12" s="506">
        <v>19326</v>
      </c>
      <c r="AR12" s="397">
        <v>5569</v>
      </c>
      <c r="AS12" s="397">
        <v>6575</v>
      </c>
      <c r="AT12" s="397">
        <v>5826</v>
      </c>
      <c r="AU12" s="397">
        <v>6648</v>
      </c>
      <c r="AV12" s="397">
        <v>24618</v>
      </c>
      <c r="AW12" s="397">
        <v>7555</v>
      </c>
      <c r="AX12" s="397">
        <v>7656</v>
      </c>
      <c r="AY12" s="397">
        <v>6572</v>
      </c>
      <c r="AZ12" s="397">
        <f aca="true" t="shared" si="1" ref="AZ12:AZ44">BA12-AY12-AX12-AW12</f>
        <v>6646</v>
      </c>
      <c r="BA12" s="397">
        <v>28429</v>
      </c>
      <c r="BB12" s="397">
        <v>8370</v>
      </c>
      <c r="BC12" s="397">
        <v>7140</v>
      </c>
      <c r="BD12" s="272">
        <v>6960</v>
      </c>
    </row>
    <row r="13" spans="1:56" ht="12" customHeight="1">
      <c r="A13" s="501"/>
      <c r="B13" s="572" t="s">
        <v>13</v>
      </c>
      <c r="C13" s="502"/>
      <c r="D13" s="503">
        <v>452</v>
      </c>
      <c r="E13" s="504">
        <v>544</v>
      </c>
      <c r="F13" s="504">
        <v>657</v>
      </c>
      <c r="G13" s="504">
        <v>576</v>
      </c>
      <c r="H13" s="504">
        <v>2229</v>
      </c>
      <c r="I13" s="505"/>
      <c r="J13" s="504">
        <v>619</v>
      </c>
      <c r="K13" s="504">
        <v>605</v>
      </c>
      <c r="L13" s="504">
        <v>738</v>
      </c>
      <c r="M13" s="504">
        <v>615</v>
      </c>
      <c r="N13" s="504">
        <v>2577</v>
      </c>
      <c r="O13" s="505"/>
      <c r="P13" s="504">
        <v>588</v>
      </c>
      <c r="Q13" s="504">
        <v>610</v>
      </c>
      <c r="R13" s="504">
        <v>566</v>
      </c>
      <c r="S13" s="504">
        <v>771</v>
      </c>
      <c r="T13" s="504">
        <v>2535</v>
      </c>
      <c r="U13" s="505"/>
      <c r="V13" s="504">
        <v>580</v>
      </c>
      <c r="W13" s="504">
        <f>1181-580</f>
        <v>601</v>
      </c>
      <c r="X13" s="504">
        <f>1793-580-601</f>
        <v>612</v>
      </c>
      <c r="Y13" s="504">
        <f>2602-V13-W13-X13</f>
        <v>809</v>
      </c>
      <c r="Z13" s="504">
        <f t="shared" si="0"/>
        <v>2602</v>
      </c>
      <c r="AA13" s="505"/>
      <c r="AB13" s="504">
        <v>609</v>
      </c>
      <c r="AC13" s="504">
        <v>689</v>
      </c>
      <c r="AD13" s="504">
        <f>2047-609-689</f>
        <v>749</v>
      </c>
      <c r="AE13" s="504">
        <v>809</v>
      </c>
      <c r="AF13" s="504">
        <v>2856</v>
      </c>
      <c r="AG13" s="505"/>
      <c r="AH13" s="504">
        <v>676</v>
      </c>
      <c r="AI13" s="397">
        <f>1414-676</f>
        <v>738</v>
      </c>
      <c r="AJ13" s="397">
        <f>2311-676-738</f>
        <v>897</v>
      </c>
      <c r="AK13" s="397">
        <v>773</v>
      </c>
      <c r="AL13" s="397">
        <v>3084</v>
      </c>
      <c r="AM13" s="397">
        <v>632</v>
      </c>
      <c r="AN13" s="397">
        <v>637</v>
      </c>
      <c r="AO13" s="397">
        <v>757</v>
      </c>
      <c r="AP13" s="506">
        <v>677</v>
      </c>
      <c r="AQ13" s="506">
        <v>2703</v>
      </c>
      <c r="AR13" s="397">
        <v>750</v>
      </c>
      <c r="AS13" s="397">
        <v>657</v>
      </c>
      <c r="AT13" s="397">
        <v>885</v>
      </c>
      <c r="AU13" s="397">
        <v>833</v>
      </c>
      <c r="AV13" s="397">
        <v>3125</v>
      </c>
      <c r="AW13" s="397">
        <v>876</v>
      </c>
      <c r="AX13" s="397">
        <v>740</v>
      </c>
      <c r="AY13" s="397">
        <v>648</v>
      </c>
      <c r="AZ13" s="397">
        <f t="shared" si="1"/>
        <v>953</v>
      </c>
      <c r="BA13" s="397">
        <v>3217</v>
      </c>
      <c r="BB13" s="397">
        <v>711</v>
      </c>
      <c r="BC13" s="397">
        <v>506</v>
      </c>
      <c r="BD13" s="272">
        <v>470</v>
      </c>
    </row>
    <row r="14" spans="1:56" s="500" customFormat="1" ht="12" customHeight="1">
      <c r="A14" s="493"/>
      <c r="B14" s="576" t="s">
        <v>75</v>
      </c>
      <c r="C14" s="495"/>
      <c r="D14" s="496">
        <v>-3664</v>
      </c>
      <c r="E14" s="497">
        <v>-3633</v>
      </c>
      <c r="F14" s="497">
        <v>-3926</v>
      </c>
      <c r="G14" s="497">
        <v>-4528</v>
      </c>
      <c r="H14" s="497">
        <v>-15751</v>
      </c>
      <c r="I14" s="498"/>
      <c r="J14" s="497">
        <v>-3709</v>
      </c>
      <c r="K14" s="497">
        <v>-3972</v>
      </c>
      <c r="L14" s="497">
        <v>-3928</v>
      </c>
      <c r="M14" s="497">
        <v>-6550</v>
      </c>
      <c r="N14" s="497">
        <v>-18159</v>
      </c>
      <c r="O14" s="498"/>
      <c r="P14" s="497">
        <v>-3138</v>
      </c>
      <c r="Q14" s="497">
        <v>-3566</v>
      </c>
      <c r="R14" s="497">
        <v>-3651</v>
      </c>
      <c r="S14" s="497">
        <v>-4887</v>
      </c>
      <c r="T14" s="497">
        <v>-15242</v>
      </c>
      <c r="U14" s="498"/>
      <c r="V14" s="497">
        <v>-3548</v>
      </c>
      <c r="W14" s="497">
        <f>-7215+3548</f>
        <v>-3667</v>
      </c>
      <c r="X14" s="497">
        <v>-3574</v>
      </c>
      <c r="Y14" s="497">
        <f>-15204-V14-W14-X14</f>
        <v>-4415</v>
      </c>
      <c r="Z14" s="497">
        <f t="shared" si="0"/>
        <v>-15204</v>
      </c>
      <c r="AA14" s="498"/>
      <c r="AB14" s="497">
        <v>-3318</v>
      </c>
      <c r="AC14" s="497">
        <v>-4113</v>
      </c>
      <c r="AD14" s="497">
        <v>-4371</v>
      </c>
      <c r="AE14" s="497">
        <v>-4753</v>
      </c>
      <c r="AF14" s="497">
        <v>-16555</v>
      </c>
      <c r="AG14" s="498"/>
      <c r="AH14" s="497">
        <v>-4441</v>
      </c>
      <c r="AI14" s="356">
        <v>-4705</v>
      </c>
      <c r="AJ14" s="356">
        <v>-4431</v>
      </c>
      <c r="AK14" s="356">
        <v>-5190</v>
      </c>
      <c r="AL14" s="356">
        <v>-18767</v>
      </c>
      <c r="AM14" s="356">
        <v>-4486</v>
      </c>
      <c r="AN14" s="356">
        <v>-4648</v>
      </c>
      <c r="AO14" s="356">
        <v>-4296</v>
      </c>
      <c r="AP14" s="499">
        <v>-5551</v>
      </c>
      <c r="AQ14" s="499">
        <v>-18981</v>
      </c>
      <c r="AR14" s="356">
        <v>-4970</v>
      </c>
      <c r="AS14" s="356">
        <v>-6054</v>
      </c>
      <c r="AT14" s="356">
        <v>-5760</v>
      </c>
      <c r="AU14" s="356">
        <v>-6745</v>
      </c>
      <c r="AV14" s="356">
        <v>-23529</v>
      </c>
      <c r="AW14" s="356">
        <v>-6831</v>
      </c>
      <c r="AX14" s="356">
        <v>-7201</v>
      </c>
      <c r="AY14" s="356">
        <v>-6611</v>
      </c>
      <c r="AZ14" s="356">
        <f>BA14-AW14-AX14-AY14</f>
        <v>-6898</v>
      </c>
      <c r="BA14" s="356">
        <v>-27541</v>
      </c>
      <c r="BB14" s="356">
        <v>-8502</v>
      </c>
      <c r="BC14" s="356">
        <v>-7427</v>
      </c>
      <c r="BD14" s="273">
        <v>-7225</v>
      </c>
    </row>
    <row r="15" spans="1:56" ht="12" customHeight="1">
      <c r="A15" s="501"/>
      <c r="B15" s="577" t="s">
        <v>76</v>
      </c>
      <c r="C15" s="493"/>
      <c r="D15" s="496">
        <f>D11+D14</f>
        <v>986</v>
      </c>
      <c r="E15" s="497">
        <f>E11+E14</f>
        <v>1245</v>
      </c>
      <c r="F15" s="497">
        <f>F11+F14</f>
        <v>1262</v>
      </c>
      <c r="G15" s="497">
        <f>G11+G14</f>
        <v>1248</v>
      </c>
      <c r="H15" s="497">
        <f>H11+H14</f>
        <v>4741</v>
      </c>
      <c r="I15" s="505"/>
      <c r="J15" s="497">
        <f>J11+J14</f>
        <v>1022</v>
      </c>
      <c r="K15" s="497">
        <f>K11+K14</f>
        <v>1357</v>
      </c>
      <c r="L15" s="497">
        <f>L11+L14</f>
        <v>872</v>
      </c>
      <c r="M15" s="497">
        <f>M11+M14</f>
        <v>-1402</v>
      </c>
      <c r="N15" s="497">
        <f>N11+N14</f>
        <v>1849</v>
      </c>
      <c r="O15" s="505"/>
      <c r="P15" s="497">
        <f aca="true" t="shared" si="2" ref="P15:Y15">P11+P14</f>
        <v>774</v>
      </c>
      <c r="Q15" s="497">
        <f t="shared" si="2"/>
        <v>978</v>
      </c>
      <c r="R15" s="497">
        <f t="shared" si="2"/>
        <v>1034</v>
      </c>
      <c r="S15" s="497">
        <f t="shared" si="2"/>
        <v>1128</v>
      </c>
      <c r="T15" s="497">
        <f t="shared" si="2"/>
        <v>3914</v>
      </c>
      <c r="U15" s="505"/>
      <c r="V15" s="497">
        <f t="shared" si="2"/>
        <v>1363</v>
      </c>
      <c r="W15" s="497">
        <f t="shared" si="2"/>
        <v>1135</v>
      </c>
      <c r="X15" s="497">
        <f t="shared" si="2"/>
        <v>1200</v>
      </c>
      <c r="Y15" s="497">
        <f t="shared" si="2"/>
        <v>1456</v>
      </c>
      <c r="Z15" s="497">
        <f>V15+W15+X15+Y15</f>
        <v>5154</v>
      </c>
      <c r="AA15" s="505"/>
      <c r="AB15" s="497">
        <v>948</v>
      </c>
      <c r="AC15" s="497">
        <v>1044</v>
      </c>
      <c r="AD15" s="497">
        <v>993</v>
      </c>
      <c r="AE15" s="497">
        <f>AE11+AE14</f>
        <v>986</v>
      </c>
      <c r="AF15" s="497">
        <f>AF11+AF14</f>
        <v>3971</v>
      </c>
      <c r="AG15" s="505"/>
      <c r="AH15" s="497">
        <f>AH11+AH14</f>
        <v>1047</v>
      </c>
      <c r="AI15" s="356">
        <f>AI11+AI14</f>
        <v>1035</v>
      </c>
      <c r="AJ15" s="356">
        <f>AJ11+AJ14</f>
        <v>1210</v>
      </c>
      <c r="AK15" s="356">
        <v>664</v>
      </c>
      <c r="AL15" s="356">
        <v>3956</v>
      </c>
      <c r="AM15" s="356">
        <v>813</v>
      </c>
      <c r="AN15" s="356">
        <v>1001</v>
      </c>
      <c r="AO15" s="356">
        <f>AO11+AO14</f>
        <v>1336</v>
      </c>
      <c r="AP15" s="499">
        <v>1501</v>
      </c>
      <c r="AQ15" s="499">
        <v>4651</v>
      </c>
      <c r="AR15" s="356">
        <v>1775</v>
      </c>
      <c r="AS15" s="356">
        <v>1707</v>
      </c>
      <c r="AT15" s="356">
        <v>1469</v>
      </c>
      <c r="AU15" s="356">
        <v>1323</v>
      </c>
      <c r="AV15" s="356">
        <v>6274</v>
      </c>
      <c r="AW15" s="356">
        <v>2162</v>
      </c>
      <c r="AX15" s="356">
        <v>1732</v>
      </c>
      <c r="AY15" s="356">
        <v>1159</v>
      </c>
      <c r="AZ15" s="356">
        <f t="shared" si="1"/>
        <v>1253</v>
      </c>
      <c r="BA15" s="356">
        <v>6306</v>
      </c>
      <c r="BB15" s="356">
        <v>1083</v>
      </c>
      <c r="BC15" s="356">
        <v>745</v>
      </c>
      <c r="BD15" s="273">
        <v>666</v>
      </c>
    </row>
    <row r="16" spans="2:56" s="471" customFormat="1" ht="12" customHeight="1">
      <c r="B16" s="578" t="s">
        <v>77</v>
      </c>
      <c r="C16" s="507"/>
      <c r="D16" s="134">
        <v>-73</v>
      </c>
      <c r="E16" s="135">
        <v>-120</v>
      </c>
      <c r="F16" s="135">
        <v>-96</v>
      </c>
      <c r="G16" s="135">
        <v>-101</v>
      </c>
      <c r="H16" s="135">
        <v>-390</v>
      </c>
      <c r="I16" s="508"/>
      <c r="J16" s="135">
        <v>-93</v>
      </c>
      <c r="K16" s="135">
        <v>-70</v>
      </c>
      <c r="L16" s="135">
        <v>-143</v>
      </c>
      <c r="M16" s="135">
        <v>-107</v>
      </c>
      <c r="N16" s="135">
        <v>-413</v>
      </c>
      <c r="O16" s="508"/>
      <c r="P16" s="135">
        <v>-98</v>
      </c>
      <c r="Q16" s="135">
        <v>-94</v>
      </c>
      <c r="R16" s="135">
        <v>-104</v>
      </c>
      <c r="S16" s="135">
        <v>-114</v>
      </c>
      <c r="T16" s="135">
        <v>-410</v>
      </c>
      <c r="U16" s="508"/>
      <c r="V16" s="135">
        <v>-86</v>
      </c>
      <c r="W16" s="135">
        <f>-178+86</f>
        <v>-92</v>
      </c>
      <c r="X16" s="135">
        <v>-89</v>
      </c>
      <c r="Y16" s="135">
        <f>-371-V16-W16-X16</f>
        <v>-104</v>
      </c>
      <c r="Z16" s="135">
        <f t="shared" si="0"/>
        <v>-371</v>
      </c>
      <c r="AA16" s="508"/>
      <c r="AB16" s="135">
        <v>-82</v>
      </c>
      <c r="AC16" s="135">
        <v>-98</v>
      </c>
      <c r="AD16" s="135">
        <v>-92</v>
      </c>
      <c r="AE16" s="135">
        <v>-102</v>
      </c>
      <c r="AF16" s="135">
        <v>-374</v>
      </c>
      <c r="AG16" s="508"/>
      <c r="AH16" s="135">
        <v>-98</v>
      </c>
      <c r="AI16" s="397">
        <v>-104</v>
      </c>
      <c r="AJ16" s="397">
        <v>-109</v>
      </c>
      <c r="AK16" s="397">
        <v>-121</v>
      </c>
      <c r="AL16" s="397">
        <v>-432</v>
      </c>
      <c r="AM16" s="397">
        <v>-103</v>
      </c>
      <c r="AN16" s="397">
        <v>-109</v>
      </c>
      <c r="AO16" s="397">
        <v>-114</v>
      </c>
      <c r="AP16" s="506">
        <v>-106</v>
      </c>
      <c r="AQ16" s="506">
        <v>-432</v>
      </c>
      <c r="AR16" s="397">
        <v>-109</v>
      </c>
      <c r="AS16" s="397">
        <v>-106</v>
      </c>
      <c r="AT16" s="397">
        <v>-115</v>
      </c>
      <c r="AU16" s="397">
        <v>-120</v>
      </c>
      <c r="AV16" s="397">
        <v>-450</v>
      </c>
      <c r="AW16" s="397">
        <v>-123</v>
      </c>
      <c r="AX16" s="397">
        <v>-143</v>
      </c>
      <c r="AY16" s="397">
        <v>-145</v>
      </c>
      <c r="AZ16" s="397">
        <f t="shared" si="1"/>
        <v>-149</v>
      </c>
      <c r="BA16" s="397">
        <v>-560</v>
      </c>
      <c r="BB16" s="397">
        <v>-124</v>
      </c>
      <c r="BC16" s="397">
        <v>-109</v>
      </c>
      <c r="BD16" s="272">
        <v>-114</v>
      </c>
    </row>
    <row r="17" spans="2:56" s="471" customFormat="1" ht="12" customHeight="1">
      <c r="B17" s="578" t="s">
        <v>78</v>
      </c>
      <c r="C17" s="507"/>
      <c r="D17" s="134">
        <v>-252</v>
      </c>
      <c r="E17" s="135">
        <v>-217</v>
      </c>
      <c r="F17" s="135">
        <v>-244</v>
      </c>
      <c r="G17" s="135">
        <v>-285</v>
      </c>
      <c r="H17" s="135">
        <v>-998</v>
      </c>
      <c r="I17" s="508"/>
      <c r="J17" s="135">
        <v>-206</v>
      </c>
      <c r="K17" s="135">
        <v>-244</v>
      </c>
      <c r="L17" s="135">
        <v>-221</v>
      </c>
      <c r="M17" s="135">
        <v>-259</v>
      </c>
      <c r="N17" s="135">
        <v>-930</v>
      </c>
      <c r="O17" s="508"/>
      <c r="P17" s="135">
        <v>-186</v>
      </c>
      <c r="Q17" s="135">
        <v>-256</v>
      </c>
      <c r="R17" s="135">
        <v>-235</v>
      </c>
      <c r="S17" s="135">
        <v>-283</v>
      </c>
      <c r="T17" s="135">
        <v>-960</v>
      </c>
      <c r="U17" s="508"/>
      <c r="V17" s="135">
        <v>-203</v>
      </c>
      <c r="W17" s="135">
        <f>-443+203</f>
        <v>-240</v>
      </c>
      <c r="X17" s="135">
        <v>-247</v>
      </c>
      <c r="Y17" s="135">
        <f>-972-V17-W17-X17</f>
        <v>-282</v>
      </c>
      <c r="Z17" s="135">
        <f t="shared" si="0"/>
        <v>-972</v>
      </c>
      <c r="AA17" s="508"/>
      <c r="AB17" s="135">
        <v>-207</v>
      </c>
      <c r="AC17" s="135">
        <v>-253</v>
      </c>
      <c r="AD17" s="135">
        <v>-254</v>
      </c>
      <c r="AE17" s="135">
        <v>-292</v>
      </c>
      <c r="AF17" s="135">
        <v>-1006</v>
      </c>
      <c r="AG17" s="508"/>
      <c r="AH17" s="135">
        <v>-210</v>
      </c>
      <c r="AI17" s="397">
        <v>-265</v>
      </c>
      <c r="AJ17" s="397">
        <v>-278</v>
      </c>
      <c r="AK17" s="397">
        <v>-316</v>
      </c>
      <c r="AL17" s="397">
        <v>-1069</v>
      </c>
      <c r="AM17" s="397">
        <v>-215</v>
      </c>
      <c r="AN17" s="397">
        <v>-247</v>
      </c>
      <c r="AO17" s="397">
        <v>-256</v>
      </c>
      <c r="AP17" s="506">
        <v>-340</v>
      </c>
      <c r="AQ17" s="506">
        <v>-1058</v>
      </c>
      <c r="AR17" s="397">
        <v>-224</v>
      </c>
      <c r="AS17" s="397">
        <v>-237</v>
      </c>
      <c r="AT17" s="397">
        <v>-289</v>
      </c>
      <c r="AU17" s="397">
        <v>-364</v>
      </c>
      <c r="AV17" s="397">
        <v>-1114</v>
      </c>
      <c r="AW17" s="397">
        <v>-238</v>
      </c>
      <c r="AX17" s="397">
        <v>-359</v>
      </c>
      <c r="AY17" s="397">
        <v>-359</v>
      </c>
      <c r="AZ17" s="397">
        <f t="shared" si="1"/>
        <v>-446</v>
      </c>
      <c r="BA17" s="397">
        <v>-1402</v>
      </c>
      <c r="BB17" s="397">
        <v>-297</v>
      </c>
      <c r="BC17" s="397">
        <v>-403</v>
      </c>
      <c r="BD17" s="272">
        <v>-358</v>
      </c>
    </row>
    <row r="18" spans="1:56" ht="12" customHeight="1">
      <c r="A18" s="501"/>
      <c r="B18" s="577" t="s">
        <v>79</v>
      </c>
      <c r="C18" s="493"/>
      <c r="D18" s="496">
        <f>D15+D16+D17</f>
        <v>661</v>
      </c>
      <c r="E18" s="497">
        <f>E15+E16+E17</f>
        <v>908</v>
      </c>
      <c r="F18" s="497">
        <f>F15+F16+F17</f>
        <v>922</v>
      </c>
      <c r="G18" s="497">
        <f>G15+G16+G17</f>
        <v>862</v>
      </c>
      <c r="H18" s="497">
        <f>H15+H16+H17</f>
        <v>3353</v>
      </c>
      <c r="I18" s="505"/>
      <c r="J18" s="497">
        <f>J15+J16+J17</f>
        <v>723</v>
      </c>
      <c r="K18" s="497">
        <f>K15+K16+K17</f>
        <v>1043</v>
      </c>
      <c r="L18" s="497">
        <f>L15+L16+L17</f>
        <v>508</v>
      </c>
      <c r="M18" s="497">
        <f>M15+M16+M17</f>
        <v>-1768</v>
      </c>
      <c r="N18" s="497">
        <f>N15+N16+N17</f>
        <v>506</v>
      </c>
      <c r="O18" s="505"/>
      <c r="P18" s="497">
        <f aca="true" t="shared" si="3" ref="P18:Y18">P15+P16+P17</f>
        <v>490</v>
      </c>
      <c r="Q18" s="497">
        <f t="shared" si="3"/>
        <v>628</v>
      </c>
      <c r="R18" s="497">
        <f t="shared" si="3"/>
        <v>695</v>
      </c>
      <c r="S18" s="497">
        <f t="shared" si="3"/>
        <v>731</v>
      </c>
      <c r="T18" s="497">
        <f t="shared" si="3"/>
        <v>2544</v>
      </c>
      <c r="U18" s="505"/>
      <c r="V18" s="497">
        <f t="shared" si="3"/>
        <v>1074</v>
      </c>
      <c r="W18" s="497">
        <f t="shared" si="3"/>
        <v>803</v>
      </c>
      <c r="X18" s="497">
        <f t="shared" si="3"/>
        <v>864</v>
      </c>
      <c r="Y18" s="497">
        <f t="shared" si="3"/>
        <v>1070</v>
      </c>
      <c r="Z18" s="497">
        <f t="shared" si="0"/>
        <v>3811</v>
      </c>
      <c r="AA18" s="505"/>
      <c r="AB18" s="497">
        <f>AB15+AB16+AB17</f>
        <v>659</v>
      </c>
      <c r="AC18" s="497">
        <f>AC15+AC16+AC17</f>
        <v>693</v>
      </c>
      <c r="AD18" s="497">
        <f>AD15+AD16+AD17</f>
        <v>647</v>
      </c>
      <c r="AE18" s="497">
        <f>AE15+AE16+AE17</f>
        <v>592</v>
      </c>
      <c r="AF18" s="497">
        <f>AF15+AF16+AF17</f>
        <v>2591</v>
      </c>
      <c r="AG18" s="505"/>
      <c r="AH18" s="497">
        <f>AH15+AH16+AH17</f>
        <v>739</v>
      </c>
      <c r="AI18" s="356">
        <f>AI15+AI16+AI17</f>
        <v>666</v>
      </c>
      <c r="AJ18" s="356">
        <f>AJ15+AJ16+AJ17</f>
        <v>823</v>
      </c>
      <c r="AK18" s="356">
        <v>227</v>
      </c>
      <c r="AL18" s="356">
        <v>2455</v>
      </c>
      <c r="AM18" s="356">
        <v>495</v>
      </c>
      <c r="AN18" s="356">
        <v>645</v>
      </c>
      <c r="AO18" s="356">
        <f>AO15+AO16+AO17</f>
        <v>966</v>
      </c>
      <c r="AP18" s="499">
        <v>1055</v>
      </c>
      <c r="AQ18" s="499">
        <v>3161</v>
      </c>
      <c r="AR18" s="356">
        <v>1442</v>
      </c>
      <c r="AS18" s="356">
        <v>1364</v>
      </c>
      <c r="AT18" s="356">
        <v>1065</v>
      </c>
      <c r="AU18" s="356">
        <v>839</v>
      </c>
      <c r="AV18" s="356">
        <v>4710</v>
      </c>
      <c r="AW18" s="356">
        <v>1801</v>
      </c>
      <c r="AX18" s="356">
        <v>1230</v>
      </c>
      <c r="AY18" s="356">
        <v>655</v>
      </c>
      <c r="AZ18" s="356">
        <f t="shared" si="1"/>
        <v>658</v>
      </c>
      <c r="BA18" s="356">
        <v>4344</v>
      </c>
      <c r="BB18" s="356">
        <v>662</v>
      </c>
      <c r="BC18" s="356">
        <v>233</v>
      </c>
      <c r="BD18" s="273">
        <v>194</v>
      </c>
    </row>
    <row r="19" spans="1:56" ht="12" customHeight="1">
      <c r="A19" s="501"/>
      <c r="B19" s="572" t="s">
        <v>12</v>
      </c>
      <c r="C19" s="502"/>
      <c r="D19" s="503">
        <f>3800-3024</f>
        <v>776</v>
      </c>
      <c r="E19" s="504">
        <f>-6127+7727-776</f>
        <v>824</v>
      </c>
      <c r="F19" s="504">
        <f>-9341+11843-776-824</f>
        <v>902</v>
      </c>
      <c r="G19" s="504">
        <v>1011</v>
      </c>
      <c r="H19" s="504">
        <v>3513</v>
      </c>
      <c r="I19" s="505"/>
      <c r="J19" s="504">
        <v>869</v>
      </c>
      <c r="K19" s="504">
        <v>1066</v>
      </c>
      <c r="L19" s="504">
        <v>662</v>
      </c>
      <c r="M19" s="504">
        <v>687</v>
      </c>
      <c r="N19" s="504">
        <v>3284</v>
      </c>
      <c r="O19" s="505"/>
      <c r="P19" s="504">
        <v>459</v>
      </c>
      <c r="Q19" s="504">
        <v>553</v>
      </c>
      <c r="R19" s="504">
        <v>682</v>
      </c>
      <c r="S19" s="504">
        <v>901</v>
      </c>
      <c r="T19" s="504">
        <v>2595</v>
      </c>
      <c r="U19" s="505"/>
      <c r="V19" s="504">
        <v>1065</v>
      </c>
      <c r="W19" s="504">
        <f>1735-1065</f>
        <v>670</v>
      </c>
      <c r="X19" s="504">
        <f>2447-1065-670</f>
        <v>712</v>
      </c>
      <c r="Y19" s="504">
        <f>1323-1065-670-712</f>
        <v>-1124</v>
      </c>
      <c r="Z19" s="504">
        <f t="shared" si="0"/>
        <v>1323</v>
      </c>
      <c r="AA19" s="505"/>
      <c r="AB19" s="504">
        <v>520</v>
      </c>
      <c r="AC19" s="504">
        <f>1166-520</f>
        <v>646</v>
      </c>
      <c r="AD19" s="504">
        <f>1768-520-646</f>
        <v>602</v>
      </c>
      <c r="AE19" s="504">
        <v>529</v>
      </c>
      <c r="AF19" s="504">
        <v>2297</v>
      </c>
      <c r="AG19" s="505"/>
      <c r="AH19" s="504">
        <v>725</v>
      </c>
      <c r="AI19" s="397">
        <f>1333-725</f>
        <v>608</v>
      </c>
      <c r="AJ19" s="397">
        <f>1975-725-608</f>
        <v>642</v>
      </c>
      <c r="AK19" s="397">
        <v>417</v>
      </c>
      <c r="AL19" s="397">
        <v>2392</v>
      </c>
      <c r="AM19" s="397">
        <v>616</v>
      </c>
      <c r="AN19" s="397">
        <v>720</v>
      </c>
      <c r="AO19" s="397">
        <f>2156-616-720</f>
        <v>820</v>
      </c>
      <c r="AP19" s="506">
        <v>1009</v>
      </c>
      <c r="AQ19" s="506">
        <f>AP19+AO19+AN19+AM19</f>
        <v>3165</v>
      </c>
      <c r="AR19" s="397">
        <v>1359</v>
      </c>
      <c r="AS19" s="397">
        <v>1135</v>
      </c>
      <c r="AT19" s="397">
        <v>756</v>
      </c>
      <c r="AU19" s="397">
        <v>854</v>
      </c>
      <c r="AV19" s="397">
        <v>4104</v>
      </c>
      <c r="AW19" s="397">
        <v>1602</v>
      </c>
      <c r="AX19" s="397">
        <v>1142</v>
      </c>
      <c r="AY19" s="397">
        <v>629</v>
      </c>
      <c r="AZ19" s="397">
        <f>BA19-AY19-AX19-AW19</f>
        <v>593</v>
      </c>
      <c r="BA19" s="397">
        <v>3966</v>
      </c>
      <c r="BB19" s="397">
        <v>997</v>
      </c>
      <c r="BC19" s="397">
        <v>444</v>
      </c>
      <c r="BD19" s="272">
        <v>446</v>
      </c>
    </row>
    <row r="20" spans="1:56" ht="12" customHeight="1">
      <c r="A20" s="501"/>
      <c r="B20" s="572" t="s">
        <v>13</v>
      </c>
      <c r="C20" s="502"/>
      <c r="D20" s="503">
        <f>-558+452</f>
        <v>-106</v>
      </c>
      <c r="E20" s="504">
        <f>-1055+996--106</f>
        <v>47</v>
      </c>
      <c r="F20" s="504">
        <f>-1726+1653--106-47</f>
        <v>-14</v>
      </c>
      <c r="G20" s="504">
        <v>-86</v>
      </c>
      <c r="H20" s="504">
        <v>-159</v>
      </c>
      <c r="I20" s="505"/>
      <c r="J20" s="504">
        <v>-164</v>
      </c>
      <c r="K20" s="504">
        <v>-62</v>
      </c>
      <c r="L20" s="504">
        <v>-173</v>
      </c>
      <c r="M20" s="504">
        <v>-2493</v>
      </c>
      <c r="N20" s="504">
        <v>-2892</v>
      </c>
      <c r="O20" s="505"/>
      <c r="P20" s="504">
        <v>11</v>
      </c>
      <c r="Q20" s="504">
        <v>13</v>
      </c>
      <c r="R20" s="504">
        <v>-4</v>
      </c>
      <c r="S20" s="504">
        <v>-191</v>
      </c>
      <c r="T20" s="504">
        <v>-171</v>
      </c>
      <c r="U20" s="505"/>
      <c r="V20" s="504">
        <v>-1</v>
      </c>
      <c r="W20" s="504">
        <f>101--1</f>
        <v>102</v>
      </c>
      <c r="X20" s="504">
        <f>217-102+1</f>
        <v>116</v>
      </c>
      <c r="Y20" s="504">
        <f>-561-102+1-116</f>
        <v>-778</v>
      </c>
      <c r="Z20" s="504">
        <f t="shared" si="0"/>
        <v>-561</v>
      </c>
      <c r="AA20" s="505"/>
      <c r="AB20" s="504">
        <v>124</v>
      </c>
      <c r="AC20" s="504">
        <f>160-124</f>
        <v>36</v>
      </c>
      <c r="AD20" s="504">
        <f>193-36-124</f>
        <v>33</v>
      </c>
      <c r="AE20" s="504">
        <v>68</v>
      </c>
      <c r="AF20" s="504">
        <v>261</v>
      </c>
      <c r="AG20" s="505"/>
      <c r="AH20" s="504">
        <v>45</v>
      </c>
      <c r="AI20" s="397">
        <f>120-45</f>
        <v>75</v>
      </c>
      <c r="AJ20" s="397">
        <f>223-45-75</f>
        <v>103</v>
      </c>
      <c r="AK20" s="397">
        <v>96</v>
      </c>
      <c r="AL20" s="397">
        <v>319</v>
      </c>
      <c r="AM20" s="397">
        <v>-92</v>
      </c>
      <c r="AN20" s="397">
        <v>5</v>
      </c>
      <c r="AO20" s="397">
        <f>62--92-5</f>
        <v>149</v>
      </c>
      <c r="AP20" s="506">
        <v>82</v>
      </c>
      <c r="AQ20" s="506">
        <f>AP20+AO20+AN20+AM20</f>
        <v>144</v>
      </c>
      <c r="AR20" s="397">
        <v>116</v>
      </c>
      <c r="AS20" s="397">
        <v>205</v>
      </c>
      <c r="AT20" s="397">
        <v>302</v>
      </c>
      <c r="AU20" s="397">
        <v>39</v>
      </c>
      <c r="AV20" s="397">
        <v>662</v>
      </c>
      <c r="AW20" s="397">
        <v>251</v>
      </c>
      <c r="AX20" s="397">
        <v>95</v>
      </c>
      <c r="AY20" s="397">
        <v>3</v>
      </c>
      <c r="AZ20" s="397">
        <f t="shared" si="1"/>
        <v>48</v>
      </c>
      <c r="BA20" s="397">
        <v>397</v>
      </c>
      <c r="BB20" s="397">
        <v>-289</v>
      </c>
      <c r="BC20" s="397">
        <v>-321</v>
      </c>
      <c r="BD20" s="272">
        <v>-282</v>
      </c>
    </row>
    <row r="21" spans="1:56" s="500" customFormat="1" ht="12" customHeight="1">
      <c r="A21" s="493"/>
      <c r="B21" s="576" t="s">
        <v>80</v>
      </c>
      <c r="C21" s="495"/>
      <c r="D21" s="496">
        <f>SUM(D22:D25)</f>
        <v>60</v>
      </c>
      <c r="E21" s="497">
        <f>SUM(E22:E25)</f>
        <v>66</v>
      </c>
      <c r="F21" s="497">
        <f>SUM(F22:F25)</f>
        <v>74</v>
      </c>
      <c r="G21" s="497">
        <f>SUM(G22:G25)</f>
        <v>-185</v>
      </c>
      <c r="H21" s="497">
        <f>SUM(H22:H25)</f>
        <v>15</v>
      </c>
      <c r="I21" s="498"/>
      <c r="J21" s="497">
        <f>SUM(J22:J25)</f>
        <v>82</v>
      </c>
      <c r="K21" s="497">
        <f>SUM(K22:K25)</f>
        <v>94</v>
      </c>
      <c r="L21" s="497">
        <f>SUM(L22:L25)</f>
        <v>-170</v>
      </c>
      <c r="M21" s="497">
        <f>SUM(M22:M25)</f>
        <v>-4668</v>
      </c>
      <c r="N21" s="497">
        <f>SUM(N22:N25)</f>
        <v>-4662</v>
      </c>
      <c r="O21" s="498"/>
      <c r="P21" s="497">
        <f aca="true" t="shared" si="4" ref="P21:Y21">SUM(P22:P25)</f>
        <v>-68</v>
      </c>
      <c r="Q21" s="497">
        <f t="shared" si="4"/>
        <v>-102</v>
      </c>
      <c r="R21" s="497">
        <f t="shared" si="4"/>
        <v>-192</v>
      </c>
      <c r="S21" s="497">
        <f t="shared" si="4"/>
        <v>-4599</v>
      </c>
      <c r="T21" s="497">
        <f t="shared" si="4"/>
        <v>-4961</v>
      </c>
      <c r="U21" s="498"/>
      <c r="V21" s="497">
        <f t="shared" si="4"/>
        <v>82</v>
      </c>
      <c r="W21" s="497">
        <f t="shared" si="4"/>
        <v>-136</v>
      </c>
      <c r="X21" s="497">
        <f t="shared" si="4"/>
        <v>79</v>
      </c>
      <c r="Y21" s="497">
        <f t="shared" si="4"/>
        <v>-180</v>
      </c>
      <c r="Z21" s="497">
        <f t="shared" si="0"/>
        <v>-155</v>
      </c>
      <c r="AA21" s="498"/>
      <c r="AB21" s="497">
        <v>81</v>
      </c>
      <c r="AC21" s="497">
        <f>SUM(AC22:AC25)</f>
        <v>-209</v>
      </c>
      <c r="AD21" s="497">
        <f>SUM(AD22:AD25)</f>
        <v>62</v>
      </c>
      <c r="AE21" s="497">
        <f>SUM(AE22:AE25)</f>
        <v>394</v>
      </c>
      <c r="AF21" s="497">
        <f>AF22+AF23+AF24+AF25</f>
        <v>328</v>
      </c>
      <c r="AG21" s="498"/>
      <c r="AH21" s="497">
        <f>AH22+AH23+AH24+AH25</f>
        <v>82</v>
      </c>
      <c r="AI21" s="356">
        <f>AI22+AI23+AI24+AI25</f>
        <v>21</v>
      </c>
      <c r="AJ21" s="356">
        <f>AJ22+AJ23+AJ24+AJ25</f>
        <v>-17</v>
      </c>
      <c r="AK21" s="356">
        <v>-77</v>
      </c>
      <c r="AL21" s="356">
        <v>9</v>
      </c>
      <c r="AM21" s="356">
        <v>96</v>
      </c>
      <c r="AN21" s="356">
        <v>-113</v>
      </c>
      <c r="AO21" s="356">
        <f>AO22+AO23+AO24+AO25</f>
        <v>95</v>
      </c>
      <c r="AP21" s="499">
        <v>169</v>
      </c>
      <c r="AQ21" s="499">
        <v>247</v>
      </c>
      <c r="AR21" s="356">
        <v>97</v>
      </c>
      <c r="AS21" s="356">
        <v>1752</v>
      </c>
      <c r="AT21" s="356">
        <v>128</v>
      </c>
      <c r="AU21" s="356">
        <v>897</v>
      </c>
      <c r="AV21" s="356">
        <v>2874</v>
      </c>
      <c r="AW21" s="356">
        <v>247</v>
      </c>
      <c r="AX21" s="356">
        <v>855</v>
      </c>
      <c r="AY21" s="356">
        <v>158</v>
      </c>
      <c r="AZ21" s="356">
        <f t="shared" si="1"/>
        <v>195</v>
      </c>
      <c r="BA21" s="356">
        <v>1455</v>
      </c>
      <c r="BB21" s="356">
        <v>147</v>
      </c>
      <c r="BC21" s="356">
        <v>627</v>
      </c>
      <c r="BD21" s="273">
        <v>165</v>
      </c>
    </row>
    <row r="22" spans="1:56" ht="19.5" customHeight="1">
      <c r="A22" s="501"/>
      <c r="B22" s="579" t="s">
        <v>81</v>
      </c>
      <c r="C22" s="510"/>
      <c r="D22" s="503">
        <v>0</v>
      </c>
      <c r="E22" s="504">
        <v>0</v>
      </c>
      <c r="F22" s="504">
        <v>-1</v>
      </c>
      <c r="G22" s="504">
        <v>-251</v>
      </c>
      <c r="H22" s="504">
        <v>-252</v>
      </c>
      <c r="I22" s="505"/>
      <c r="J22" s="504">
        <v>0</v>
      </c>
      <c r="K22" s="504">
        <v>-1</v>
      </c>
      <c r="L22" s="504">
        <v>-312</v>
      </c>
      <c r="M22" s="504">
        <f>N22-SUM(J22:L22)</f>
        <v>-4144</v>
      </c>
      <c r="N22" s="504">
        <v>-4457</v>
      </c>
      <c r="O22" s="505"/>
      <c r="P22" s="504">
        <v>-221</v>
      </c>
      <c r="Q22" s="504">
        <v>-255</v>
      </c>
      <c r="R22" s="504">
        <v>-351</v>
      </c>
      <c r="S22" s="504">
        <v>-373</v>
      </c>
      <c r="T22" s="504">
        <v>-1200</v>
      </c>
      <c r="U22" s="505"/>
      <c r="V22" s="504">
        <v>0</v>
      </c>
      <c r="W22" s="504">
        <v>-215</v>
      </c>
      <c r="X22" s="504">
        <v>0</v>
      </c>
      <c r="Y22" s="504">
        <f>-474+215</f>
        <v>-259</v>
      </c>
      <c r="Z22" s="504">
        <f t="shared" si="0"/>
        <v>-474</v>
      </c>
      <c r="AA22" s="505"/>
      <c r="AB22" s="504">
        <v>0</v>
      </c>
      <c r="AC22" s="504">
        <v>-254</v>
      </c>
      <c r="AD22" s="504">
        <v>-4</v>
      </c>
      <c r="AE22" s="504">
        <v>-404</v>
      </c>
      <c r="AF22" s="504">
        <v>-662</v>
      </c>
      <c r="AG22" s="505"/>
      <c r="AH22" s="504">
        <v>0</v>
      </c>
      <c r="AI22" s="397">
        <v>-63</v>
      </c>
      <c r="AJ22" s="397">
        <v>-106</v>
      </c>
      <c r="AK22" s="397">
        <v>-269</v>
      </c>
      <c r="AL22" s="397">
        <v>-438</v>
      </c>
      <c r="AM22" s="397">
        <v>0</v>
      </c>
      <c r="AN22" s="397">
        <v>-210</v>
      </c>
      <c r="AO22" s="397">
        <v>4</v>
      </c>
      <c r="AP22" s="506">
        <f>AQ22-AO22-AN22-AM22</f>
        <v>2</v>
      </c>
      <c r="AQ22" s="506">
        <v>-204</v>
      </c>
      <c r="AR22" s="397">
        <v>0</v>
      </c>
      <c r="AS22" s="397">
        <v>0</v>
      </c>
      <c r="AT22" s="397">
        <v>0</v>
      </c>
      <c r="AU22" s="397">
        <v>0</v>
      </c>
      <c r="AV22" s="397">
        <v>0</v>
      </c>
      <c r="AW22" s="397">
        <v>0</v>
      </c>
      <c r="AX22" s="397">
        <v>0</v>
      </c>
      <c r="AY22" s="397">
        <v>0</v>
      </c>
      <c r="AZ22" s="397">
        <f t="shared" si="1"/>
        <v>0</v>
      </c>
      <c r="BA22" s="397">
        <v>0</v>
      </c>
      <c r="BB22" s="397">
        <v>0</v>
      </c>
      <c r="BC22" s="397">
        <v>0</v>
      </c>
      <c r="BD22" s="272">
        <v>0</v>
      </c>
    </row>
    <row r="23" spans="1:56" ht="12" customHeight="1">
      <c r="A23" s="511"/>
      <c r="B23" s="512" t="s">
        <v>82</v>
      </c>
      <c r="C23" s="513"/>
      <c r="D23" s="503">
        <v>0</v>
      </c>
      <c r="E23" s="504">
        <v>0</v>
      </c>
      <c r="F23" s="504">
        <v>0</v>
      </c>
      <c r="G23" s="504">
        <v>-15</v>
      </c>
      <c r="H23" s="504">
        <v>-15</v>
      </c>
      <c r="I23" s="505"/>
      <c r="J23" s="504">
        <v>0</v>
      </c>
      <c r="K23" s="504">
        <v>0</v>
      </c>
      <c r="L23" s="504">
        <v>0</v>
      </c>
      <c r="M23" s="504">
        <f>N23-SUM(J23:L23)</f>
        <v>-671</v>
      </c>
      <c r="N23" s="504">
        <v>-671</v>
      </c>
      <c r="O23" s="505"/>
      <c r="P23" s="504">
        <v>0</v>
      </c>
      <c r="Q23" s="504">
        <v>0</v>
      </c>
      <c r="R23" s="504">
        <v>0</v>
      </c>
      <c r="S23" s="504">
        <v>0</v>
      </c>
      <c r="T23" s="504">
        <v>0</v>
      </c>
      <c r="U23" s="505"/>
      <c r="V23" s="504">
        <v>0</v>
      </c>
      <c r="W23" s="504">
        <v>0</v>
      </c>
      <c r="X23" s="504">
        <v>0</v>
      </c>
      <c r="Y23" s="504">
        <v>0</v>
      </c>
      <c r="Z23" s="504">
        <f t="shared" si="0"/>
        <v>0</v>
      </c>
      <c r="AA23" s="505"/>
      <c r="AB23" s="504">
        <v>0</v>
      </c>
      <c r="AC23" s="504">
        <v>0</v>
      </c>
      <c r="AD23" s="504">
        <v>0</v>
      </c>
      <c r="AE23" s="504">
        <v>0</v>
      </c>
      <c r="AF23" s="504">
        <v>0</v>
      </c>
      <c r="AG23" s="505"/>
      <c r="AH23" s="504">
        <v>0</v>
      </c>
      <c r="AI23" s="397">
        <v>0</v>
      </c>
      <c r="AJ23" s="397">
        <v>0</v>
      </c>
      <c r="AK23" s="397">
        <v>0</v>
      </c>
      <c r="AL23" s="397">
        <v>0</v>
      </c>
      <c r="AM23" s="397">
        <v>0</v>
      </c>
      <c r="AN23" s="397">
        <v>0</v>
      </c>
      <c r="AO23" s="397">
        <v>0</v>
      </c>
      <c r="AP23" s="499">
        <v>0</v>
      </c>
      <c r="AQ23" s="499">
        <v>0</v>
      </c>
      <c r="AR23" s="356">
        <v>0</v>
      </c>
      <c r="AS23" s="356">
        <v>0</v>
      </c>
      <c r="AT23" s="356">
        <v>0</v>
      </c>
      <c r="AU23" s="356">
        <v>0</v>
      </c>
      <c r="AV23" s="356">
        <v>0</v>
      </c>
      <c r="AW23" s="356">
        <v>0</v>
      </c>
      <c r="AX23" s="356">
        <v>0</v>
      </c>
      <c r="AY23" s="356">
        <v>0</v>
      </c>
      <c r="AZ23" s="356">
        <f t="shared" si="1"/>
        <v>0</v>
      </c>
      <c r="BA23" s="356">
        <v>0</v>
      </c>
      <c r="BB23" s="356">
        <v>0</v>
      </c>
      <c r="BC23" s="356">
        <v>0</v>
      </c>
      <c r="BD23" s="272">
        <v>0</v>
      </c>
    </row>
    <row r="24" spans="1:56" ht="22.5">
      <c r="A24" s="511"/>
      <c r="B24" s="512" t="s">
        <v>83</v>
      </c>
      <c r="C24" s="513"/>
      <c r="D24" s="503">
        <v>0</v>
      </c>
      <c r="E24" s="504">
        <v>0</v>
      </c>
      <c r="F24" s="504">
        <v>0</v>
      </c>
      <c r="G24" s="504">
        <v>0</v>
      </c>
      <c r="H24" s="504">
        <v>0</v>
      </c>
      <c r="I24" s="505"/>
      <c r="J24" s="504">
        <v>0</v>
      </c>
      <c r="K24" s="504">
        <v>0</v>
      </c>
      <c r="L24" s="504">
        <v>0</v>
      </c>
      <c r="M24" s="504">
        <f>N24-SUM(J24:L24)</f>
        <v>0</v>
      </c>
      <c r="N24" s="504">
        <v>0</v>
      </c>
      <c r="O24" s="505"/>
      <c r="P24" s="504">
        <v>0</v>
      </c>
      <c r="Q24" s="504">
        <v>0</v>
      </c>
      <c r="R24" s="504">
        <v>0</v>
      </c>
      <c r="S24" s="504">
        <v>-4394</v>
      </c>
      <c r="T24" s="504">
        <v>-4394</v>
      </c>
      <c r="U24" s="505"/>
      <c r="V24" s="504">
        <v>0</v>
      </c>
      <c r="W24" s="504">
        <v>0</v>
      </c>
      <c r="X24" s="504">
        <v>0</v>
      </c>
      <c r="Y24" s="504">
        <v>0</v>
      </c>
      <c r="Z24" s="504">
        <f t="shared" si="0"/>
        <v>0</v>
      </c>
      <c r="AA24" s="505"/>
      <c r="AB24" s="504">
        <v>0</v>
      </c>
      <c r="AC24" s="504">
        <v>0</v>
      </c>
      <c r="AD24" s="504">
        <v>0</v>
      </c>
      <c r="AE24" s="504">
        <v>733</v>
      </c>
      <c r="AF24" s="504">
        <v>733</v>
      </c>
      <c r="AG24" s="505"/>
      <c r="AH24" s="504">
        <v>0</v>
      </c>
      <c r="AI24" s="397">
        <v>0</v>
      </c>
      <c r="AJ24" s="397">
        <v>0</v>
      </c>
      <c r="AK24" s="397">
        <v>106</v>
      </c>
      <c r="AL24" s="397">
        <v>106</v>
      </c>
      <c r="AM24" s="397">
        <v>0</v>
      </c>
      <c r="AN24" s="397">
        <v>0</v>
      </c>
      <c r="AO24" s="397">
        <v>0</v>
      </c>
      <c r="AP24" s="499">
        <v>0</v>
      </c>
      <c r="AQ24" s="499">
        <v>0</v>
      </c>
      <c r="AR24" s="356">
        <v>0</v>
      </c>
      <c r="AS24" s="397">
        <v>1655</v>
      </c>
      <c r="AT24" s="397">
        <v>0</v>
      </c>
      <c r="AU24" s="397">
        <v>725</v>
      </c>
      <c r="AV24" s="397">
        <v>2380</v>
      </c>
      <c r="AW24" s="397">
        <v>64</v>
      </c>
      <c r="AX24" s="397">
        <v>719</v>
      </c>
      <c r="AY24" s="397">
        <v>0</v>
      </c>
      <c r="AZ24" s="397">
        <f t="shared" si="1"/>
        <v>90</v>
      </c>
      <c r="BA24" s="397">
        <v>873</v>
      </c>
      <c r="BB24" s="397">
        <v>0</v>
      </c>
      <c r="BC24" s="397">
        <v>482</v>
      </c>
      <c r="BD24" s="272">
        <v>11</v>
      </c>
    </row>
    <row r="25" spans="1:56" ht="11.25">
      <c r="A25" s="501"/>
      <c r="B25" s="579" t="s">
        <v>84</v>
      </c>
      <c r="C25" s="510"/>
      <c r="D25" s="503">
        <v>60</v>
      </c>
      <c r="E25" s="504">
        <v>66</v>
      </c>
      <c r="F25" s="504">
        <v>75</v>
      </c>
      <c r="G25" s="504">
        <v>81</v>
      </c>
      <c r="H25" s="504">
        <v>282</v>
      </c>
      <c r="I25" s="505"/>
      <c r="J25" s="504">
        <v>82</v>
      </c>
      <c r="K25" s="504">
        <v>95</v>
      </c>
      <c r="L25" s="504">
        <v>142</v>
      </c>
      <c r="M25" s="504">
        <f>N25-SUM(J25:L25)</f>
        <v>147</v>
      </c>
      <c r="N25" s="504">
        <v>466</v>
      </c>
      <c r="O25" s="505"/>
      <c r="P25" s="504">
        <v>153</v>
      </c>
      <c r="Q25" s="504">
        <v>153</v>
      </c>
      <c r="R25" s="504">
        <v>159</v>
      </c>
      <c r="S25" s="504">
        <v>168</v>
      </c>
      <c r="T25" s="504">
        <v>633</v>
      </c>
      <c r="U25" s="505"/>
      <c r="V25" s="504">
        <v>82</v>
      </c>
      <c r="W25" s="504">
        <v>79</v>
      </c>
      <c r="X25" s="504">
        <v>79</v>
      </c>
      <c r="Y25" s="504">
        <f>319-V25-W25-X25</f>
        <v>79</v>
      </c>
      <c r="Z25" s="504">
        <f t="shared" si="0"/>
        <v>319</v>
      </c>
      <c r="AA25" s="505"/>
      <c r="AB25" s="504">
        <v>81</v>
      </c>
      <c r="AC25" s="504">
        <v>45</v>
      </c>
      <c r="AD25" s="504">
        <v>66</v>
      </c>
      <c r="AE25" s="504">
        <v>65</v>
      </c>
      <c r="AF25" s="504">
        <v>257</v>
      </c>
      <c r="AG25" s="505"/>
      <c r="AH25" s="504">
        <v>82</v>
      </c>
      <c r="AI25" s="397">
        <v>84</v>
      </c>
      <c r="AJ25" s="397">
        <v>89</v>
      </c>
      <c r="AK25" s="397">
        <v>86</v>
      </c>
      <c r="AL25" s="397">
        <v>341</v>
      </c>
      <c r="AM25" s="397">
        <v>96</v>
      </c>
      <c r="AN25" s="397">
        <v>97</v>
      </c>
      <c r="AO25" s="397">
        <v>91</v>
      </c>
      <c r="AP25" s="506">
        <v>93</v>
      </c>
      <c r="AQ25" s="506">
        <v>377</v>
      </c>
      <c r="AR25" s="397">
        <v>97</v>
      </c>
      <c r="AS25" s="397">
        <v>97</v>
      </c>
      <c r="AT25" s="397">
        <v>128</v>
      </c>
      <c r="AU25" s="397">
        <v>172</v>
      </c>
      <c r="AV25" s="397">
        <v>494</v>
      </c>
      <c r="AW25" s="397">
        <v>183</v>
      </c>
      <c r="AX25" s="397">
        <v>136</v>
      </c>
      <c r="AY25" s="397">
        <v>158</v>
      </c>
      <c r="AZ25" s="397">
        <f t="shared" si="1"/>
        <v>105</v>
      </c>
      <c r="BA25" s="397">
        <v>582</v>
      </c>
      <c r="BB25" s="397">
        <v>147</v>
      </c>
      <c r="BC25" s="397">
        <v>145</v>
      </c>
      <c r="BD25" s="434">
        <v>154</v>
      </c>
    </row>
    <row r="26" spans="1:56" s="500" customFormat="1" ht="11.25">
      <c r="A26" s="493"/>
      <c r="B26" s="580" t="s">
        <v>85</v>
      </c>
      <c r="C26" s="495"/>
      <c r="D26" s="496">
        <f>SUM(D27:D29)</f>
        <v>-46</v>
      </c>
      <c r="E26" s="497">
        <f>SUM(E27:E29)</f>
        <v>-5</v>
      </c>
      <c r="F26" s="497">
        <f>SUM(F27:F29)</f>
        <v>74</v>
      </c>
      <c r="G26" s="497">
        <f>SUM(G27:G29)</f>
        <v>40</v>
      </c>
      <c r="H26" s="497">
        <f>SUM(H27:H29)</f>
        <v>63</v>
      </c>
      <c r="I26" s="498"/>
      <c r="J26" s="497">
        <f>SUM(J27:J29)</f>
        <v>-92</v>
      </c>
      <c r="K26" s="497">
        <f>SUM(K27:K29)</f>
        <v>15</v>
      </c>
      <c r="L26" s="497">
        <f>SUM(L27:L29)</f>
        <v>45</v>
      </c>
      <c r="M26" s="497">
        <f>SUM(M27:M29)</f>
        <v>-71</v>
      </c>
      <c r="N26" s="497">
        <f>SUM(N27:N29)</f>
        <v>-103</v>
      </c>
      <c r="O26" s="498"/>
      <c r="P26" s="497">
        <f>SUM(P27:P29)</f>
        <v>-252</v>
      </c>
      <c r="Q26" s="497">
        <f>SUM(Q27:Q29)</f>
        <v>203</v>
      </c>
      <c r="R26" s="497">
        <f>SUM(R27:R29)</f>
        <v>-164</v>
      </c>
      <c r="S26" s="497">
        <f>SUM(S27:S29)</f>
        <v>677</v>
      </c>
      <c r="T26" s="497">
        <f>SUM(T27:T29)</f>
        <v>464</v>
      </c>
      <c r="U26" s="498"/>
      <c r="V26" s="497">
        <f>SUM(V27:V29)</f>
        <v>-426</v>
      </c>
      <c r="W26" s="497">
        <f>SUM(W27:W29)</f>
        <v>-432</v>
      </c>
      <c r="X26" s="497">
        <f>SUM(X27:X29)</f>
        <v>-203</v>
      </c>
      <c r="Y26" s="497">
        <f>SUM(Y27:Y29)</f>
        <v>-543</v>
      </c>
      <c r="Z26" s="497">
        <f t="shared" si="0"/>
        <v>-1604</v>
      </c>
      <c r="AA26" s="498"/>
      <c r="AB26" s="497">
        <v>-191</v>
      </c>
      <c r="AC26" s="497">
        <v>554</v>
      </c>
      <c r="AD26" s="497">
        <v>-184</v>
      </c>
      <c r="AE26" s="497">
        <f>SUM(AE27:AE29)</f>
        <v>175</v>
      </c>
      <c r="AF26" s="497">
        <f>SUM(AF27:AF29)</f>
        <v>368</v>
      </c>
      <c r="AG26" s="498"/>
      <c r="AH26" s="497">
        <f>SUM(AH27:AH29)</f>
        <v>197</v>
      </c>
      <c r="AI26" s="356">
        <f>SUM(AI27:AI29)</f>
        <v>-167</v>
      </c>
      <c r="AJ26" s="356">
        <f>SUM(AJ27:AJ29)</f>
        <v>720</v>
      </c>
      <c r="AK26" s="356">
        <v>-564</v>
      </c>
      <c r="AL26" s="356">
        <v>186</v>
      </c>
      <c r="AM26" s="356">
        <f>1182-342</f>
        <v>840</v>
      </c>
      <c r="AN26" s="356">
        <v>-680</v>
      </c>
      <c r="AO26" s="356">
        <f>SUM(AO27:AO29)</f>
        <v>-389</v>
      </c>
      <c r="AP26" s="499">
        <v>-395</v>
      </c>
      <c r="AQ26" s="499">
        <v>-624</v>
      </c>
      <c r="AR26" s="356">
        <v>625</v>
      </c>
      <c r="AS26" s="356">
        <v>-442</v>
      </c>
      <c r="AT26" s="356">
        <v>448</v>
      </c>
      <c r="AU26" s="356">
        <v>80</v>
      </c>
      <c r="AV26" s="356">
        <v>711</v>
      </c>
      <c r="AW26" s="356">
        <v>567</v>
      </c>
      <c r="AX26" s="356">
        <f>972</f>
        <v>972</v>
      </c>
      <c r="AY26" s="356">
        <f>1428-353</f>
        <v>1075</v>
      </c>
      <c r="AZ26" s="356">
        <f t="shared" si="1"/>
        <v>-1652</v>
      </c>
      <c r="BA26" s="356">
        <v>962</v>
      </c>
      <c r="BB26" s="356">
        <v>-370</v>
      </c>
      <c r="BC26" s="356">
        <f>179-758</f>
        <v>-579</v>
      </c>
      <c r="BD26" s="273">
        <v>697</v>
      </c>
    </row>
    <row r="27" spans="1:56" ht="22.5">
      <c r="A27" s="501"/>
      <c r="B27" s="581" t="s">
        <v>86</v>
      </c>
      <c r="C27" s="510"/>
      <c r="D27" s="503">
        <v>-9</v>
      </c>
      <c r="E27" s="504">
        <v>3</v>
      </c>
      <c r="F27" s="504">
        <v>55</v>
      </c>
      <c r="G27" s="504">
        <v>97</v>
      </c>
      <c r="H27" s="504">
        <v>146</v>
      </c>
      <c r="I27" s="505"/>
      <c r="J27" s="504">
        <v>134</v>
      </c>
      <c r="K27" s="504">
        <v>-99</v>
      </c>
      <c r="L27" s="504">
        <v>2</v>
      </c>
      <c r="M27" s="504">
        <v>106</v>
      </c>
      <c r="N27" s="504">
        <v>143</v>
      </c>
      <c r="O27" s="505"/>
      <c r="P27" s="504">
        <v>-298</v>
      </c>
      <c r="Q27" s="504">
        <v>408</v>
      </c>
      <c r="R27" s="504">
        <v>-265</v>
      </c>
      <c r="S27" s="504">
        <v>666</v>
      </c>
      <c r="T27" s="504">
        <v>511</v>
      </c>
      <c r="U27" s="505"/>
      <c r="V27" s="504">
        <f>-815+312</f>
        <v>-503</v>
      </c>
      <c r="W27" s="504">
        <f>-794+336</f>
        <v>-458</v>
      </c>
      <c r="X27" s="504">
        <v>-115</v>
      </c>
      <c r="Y27" s="504">
        <f>-1466+503+458+115</f>
        <v>-390</v>
      </c>
      <c r="Z27" s="504">
        <f t="shared" si="0"/>
        <v>-1466</v>
      </c>
      <c r="AA27" s="505"/>
      <c r="AB27" s="504">
        <v>-183</v>
      </c>
      <c r="AC27" s="504">
        <v>720</v>
      </c>
      <c r="AD27" s="504">
        <v>-159</v>
      </c>
      <c r="AE27" s="504">
        <v>215</v>
      </c>
      <c r="AF27" s="504">
        <v>593</v>
      </c>
      <c r="AG27" s="505"/>
      <c r="AH27" s="504">
        <v>211</v>
      </c>
      <c r="AI27" s="397">
        <v>-217</v>
      </c>
      <c r="AJ27" s="397">
        <v>724</v>
      </c>
      <c r="AK27" s="397">
        <v>-547</v>
      </c>
      <c r="AL27" s="397">
        <v>171</v>
      </c>
      <c r="AM27" s="397">
        <v>951</v>
      </c>
      <c r="AN27" s="397">
        <v>-687</v>
      </c>
      <c r="AO27" s="397">
        <v>-318</v>
      </c>
      <c r="AP27" s="506">
        <v>-337</v>
      </c>
      <c r="AQ27" s="506">
        <v>-391</v>
      </c>
      <c r="AR27" s="397">
        <v>709</v>
      </c>
      <c r="AS27" s="397">
        <v>-482</v>
      </c>
      <c r="AT27" s="397">
        <v>549</v>
      </c>
      <c r="AU27" s="397">
        <v>218</v>
      </c>
      <c r="AV27" s="397">
        <v>994</v>
      </c>
      <c r="AW27" s="397">
        <v>389</v>
      </c>
      <c r="AX27" s="397">
        <v>859</v>
      </c>
      <c r="AY27" s="397">
        <v>1220</v>
      </c>
      <c r="AZ27" s="397">
        <f t="shared" si="1"/>
        <v>-1519</v>
      </c>
      <c r="BA27" s="397">
        <v>949</v>
      </c>
      <c r="BB27" s="397">
        <v>-305</v>
      </c>
      <c r="BC27" s="397">
        <v>-550</v>
      </c>
      <c r="BD27" s="272">
        <v>715</v>
      </c>
    </row>
    <row r="28" spans="1:56" ht="11.25">
      <c r="A28" s="501"/>
      <c r="B28" s="581" t="s">
        <v>87</v>
      </c>
      <c r="C28" s="510"/>
      <c r="D28" s="503">
        <v>-67</v>
      </c>
      <c r="E28" s="504">
        <v>-37</v>
      </c>
      <c r="F28" s="504">
        <v>-4</v>
      </c>
      <c r="G28" s="504">
        <v>-64</v>
      </c>
      <c r="H28" s="504">
        <v>-172</v>
      </c>
      <c r="I28" s="505"/>
      <c r="J28" s="504">
        <v>-233</v>
      </c>
      <c r="K28" s="504">
        <v>60</v>
      </c>
      <c r="L28" s="504">
        <v>52</v>
      </c>
      <c r="M28" s="504">
        <v>-119</v>
      </c>
      <c r="N28" s="504">
        <v>-240</v>
      </c>
      <c r="O28" s="505"/>
      <c r="P28" s="504">
        <v>52</v>
      </c>
      <c r="Q28" s="504">
        <v>-221</v>
      </c>
      <c r="R28" s="504">
        <v>86</v>
      </c>
      <c r="S28" s="504">
        <v>-121</v>
      </c>
      <c r="T28" s="504">
        <v>-204</v>
      </c>
      <c r="U28" s="505"/>
      <c r="V28" s="504">
        <f>156-86</f>
        <v>70</v>
      </c>
      <c r="W28" s="504">
        <f>75-71</f>
        <v>4</v>
      </c>
      <c r="X28" s="504">
        <v>-120</v>
      </c>
      <c r="Y28" s="504">
        <f>-261-70-4+120</f>
        <v>-215</v>
      </c>
      <c r="Z28" s="504">
        <f t="shared" si="0"/>
        <v>-261</v>
      </c>
      <c r="AA28" s="505"/>
      <c r="AB28" s="504">
        <v>-2</v>
      </c>
      <c r="AC28" s="504">
        <v>2</v>
      </c>
      <c r="AD28" s="504">
        <f>-78+25</f>
        <v>-53</v>
      </c>
      <c r="AE28" s="504">
        <v>-36</v>
      </c>
      <c r="AF28" s="504">
        <f>216-305</f>
        <v>-89</v>
      </c>
      <c r="AG28" s="505"/>
      <c r="AH28" s="504">
        <f>50-65</f>
        <v>-15</v>
      </c>
      <c r="AI28" s="397">
        <f>60-58</f>
        <v>2</v>
      </c>
      <c r="AJ28" s="397">
        <f>39-62</f>
        <v>-23</v>
      </c>
      <c r="AK28" s="397">
        <f>50-93</f>
        <v>-43</v>
      </c>
      <c r="AL28" s="397">
        <v>-79</v>
      </c>
      <c r="AM28" s="397">
        <f>159-236</f>
        <v>-77</v>
      </c>
      <c r="AN28" s="397">
        <v>-39</v>
      </c>
      <c r="AO28" s="397">
        <v>-70</v>
      </c>
      <c r="AP28" s="506">
        <v>-33</v>
      </c>
      <c r="AQ28" s="506">
        <v>-219</v>
      </c>
      <c r="AR28" s="397">
        <v>-185</v>
      </c>
      <c r="AS28" s="397">
        <v>53</v>
      </c>
      <c r="AT28" s="397">
        <v>-136</v>
      </c>
      <c r="AU28" s="397">
        <v>-117</v>
      </c>
      <c r="AV28" s="397">
        <v>-385</v>
      </c>
      <c r="AW28" s="397">
        <v>-56</v>
      </c>
      <c r="AX28" s="397">
        <v>63</v>
      </c>
      <c r="AY28" s="397">
        <v>-102</v>
      </c>
      <c r="AZ28" s="397">
        <f t="shared" si="1"/>
        <v>-125</v>
      </c>
      <c r="BA28" s="397">
        <v>-220</v>
      </c>
      <c r="BB28" s="397">
        <v>-13</v>
      </c>
      <c r="BC28" s="397">
        <f>70-106</f>
        <v>-36</v>
      </c>
      <c r="BD28" s="272">
        <v>-87</v>
      </c>
    </row>
    <row r="29" spans="1:56" ht="11.25">
      <c r="A29" s="501"/>
      <c r="B29" s="509" t="s">
        <v>88</v>
      </c>
      <c r="C29" s="510"/>
      <c r="D29" s="503">
        <v>30</v>
      </c>
      <c r="E29" s="504">
        <v>29</v>
      </c>
      <c r="F29" s="504">
        <v>23</v>
      </c>
      <c r="G29" s="504">
        <v>7</v>
      </c>
      <c r="H29" s="504">
        <v>89</v>
      </c>
      <c r="I29" s="505"/>
      <c r="J29" s="504">
        <v>7</v>
      </c>
      <c r="K29" s="504">
        <v>54</v>
      </c>
      <c r="L29" s="504">
        <v>-9</v>
      </c>
      <c r="M29" s="504">
        <f>-58</f>
        <v>-58</v>
      </c>
      <c r="N29" s="504">
        <v>-6</v>
      </c>
      <c r="O29" s="505">
        <v>0</v>
      </c>
      <c r="P29" s="504">
        <v>-6</v>
      </c>
      <c r="Q29" s="504">
        <v>16</v>
      </c>
      <c r="R29" s="504">
        <f>15</f>
        <v>15</v>
      </c>
      <c r="S29" s="504">
        <f>-53+185</f>
        <v>132</v>
      </c>
      <c r="T29" s="504">
        <v>157</v>
      </c>
      <c r="U29" s="505"/>
      <c r="V29" s="504">
        <f>59-52</f>
        <v>7</v>
      </c>
      <c r="W29" s="504">
        <f>44-22</f>
        <v>22</v>
      </c>
      <c r="X29" s="504">
        <v>32</v>
      </c>
      <c r="Y29" s="504">
        <v>62</v>
      </c>
      <c r="Z29" s="504">
        <f t="shared" si="0"/>
        <v>123</v>
      </c>
      <c r="AA29" s="505"/>
      <c r="AB29" s="504">
        <v>4</v>
      </c>
      <c r="AC29" s="504">
        <v>-164</v>
      </c>
      <c r="AD29" s="504">
        <f>2+54-3-3-22</f>
        <v>28</v>
      </c>
      <c r="AE29" s="504">
        <v>-4</v>
      </c>
      <c r="AF29" s="504">
        <v>-136</v>
      </c>
      <c r="AG29" s="505"/>
      <c r="AH29" s="504">
        <v>1</v>
      </c>
      <c r="AI29" s="397">
        <f>-167+215</f>
        <v>48</v>
      </c>
      <c r="AJ29" s="397">
        <f>2+7+54-9-35</f>
        <v>19</v>
      </c>
      <c r="AK29" s="397">
        <v>29</v>
      </c>
      <c r="AL29" s="397">
        <v>97</v>
      </c>
      <c r="AM29" s="397">
        <v>-34</v>
      </c>
      <c r="AN29" s="397">
        <v>48</v>
      </c>
      <c r="AO29" s="397">
        <v>-1</v>
      </c>
      <c r="AP29" s="506">
        <v>-25</v>
      </c>
      <c r="AQ29" s="506">
        <v>-12</v>
      </c>
      <c r="AR29" s="397">
        <v>101</v>
      </c>
      <c r="AS29" s="397">
        <v>-13</v>
      </c>
      <c r="AT29" s="397">
        <v>35</v>
      </c>
      <c r="AU29" s="397">
        <v>-21</v>
      </c>
      <c r="AV29" s="397">
        <v>102</v>
      </c>
      <c r="AW29" s="397">
        <v>234</v>
      </c>
      <c r="AX29" s="397">
        <v>50</v>
      </c>
      <c r="AY29" s="397">
        <v>-43</v>
      </c>
      <c r="AZ29" s="397">
        <f t="shared" si="1"/>
        <v>-8</v>
      </c>
      <c r="BA29" s="397">
        <v>233</v>
      </c>
      <c r="BB29" s="397">
        <v>-52</v>
      </c>
      <c r="BC29" s="397">
        <v>7</v>
      </c>
      <c r="BD29" s="272">
        <v>69</v>
      </c>
    </row>
    <row r="30" spans="1:56" s="500" customFormat="1" ht="10.5" customHeight="1">
      <c r="A30" s="493"/>
      <c r="B30" s="576" t="s">
        <v>89</v>
      </c>
      <c r="C30" s="495"/>
      <c r="D30" s="496">
        <f>SUM(D31:D34)</f>
        <v>-49</v>
      </c>
      <c r="E30" s="497">
        <f>SUM(E31:E34)</f>
        <v>-50</v>
      </c>
      <c r="F30" s="497">
        <f>SUM(F31:F34)</f>
        <v>-128</v>
      </c>
      <c r="G30" s="497">
        <f>SUM(G31:G34)</f>
        <v>-99</v>
      </c>
      <c r="H30" s="497">
        <f>SUM(H31:H34)</f>
        <v>-326</v>
      </c>
      <c r="I30" s="498"/>
      <c r="J30" s="497">
        <f>SUM(J31:J34)</f>
        <v>-136</v>
      </c>
      <c r="K30" s="497">
        <f>SUM(K31:K34)</f>
        <v>-35</v>
      </c>
      <c r="L30" s="497">
        <f>SUM(L31:L34)</f>
        <v>-53</v>
      </c>
      <c r="M30" s="497">
        <f>SUM(M31:M34)</f>
        <v>-82</v>
      </c>
      <c r="N30" s="497">
        <f>SUM(N31:N34)</f>
        <v>-306</v>
      </c>
      <c r="O30" s="498"/>
      <c r="P30" s="497">
        <f>SUM(P31:P34)</f>
        <v>230</v>
      </c>
      <c r="Q30" s="497">
        <v>-389</v>
      </c>
      <c r="R30" s="497">
        <v>192</v>
      </c>
      <c r="S30" s="497">
        <f aca="true" t="shared" si="5" ref="S30:Y30">SUM(S31:S34)</f>
        <v>-615</v>
      </c>
      <c r="T30" s="497">
        <f t="shared" si="5"/>
        <v>-582</v>
      </c>
      <c r="U30" s="498"/>
      <c r="V30" s="497">
        <f t="shared" si="5"/>
        <v>301</v>
      </c>
      <c r="W30" s="497">
        <f t="shared" si="5"/>
        <v>383</v>
      </c>
      <c r="X30" s="497">
        <f t="shared" si="5"/>
        <v>48</v>
      </c>
      <c r="Y30" s="497">
        <f t="shared" si="5"/>
        <v>288</v>
      </c>
      <c r="Z30" s="497">
        <f t="shared" si="0"/>
        <v>1020</v>
      </c>
      <c r="AA30" s="498"/>
      <c r="AB30" s="497">
        <v>112</v>
      </c>
      <c r="AC30" s="497">
        <v>-715</v>
      </c>
      <c r="AD30" s="497">
        <v>83</v>
      </c>
      <c r="AE30" s="497">
        <f>SUM(AE31:AE34)</f>
        <v>-241</v>
      </c>
      <c r="AF30" s="497">
        <f>SUM(AF31:AF34)</f>
        <v>-761</v>
      </c>
      <c r="AG30" s="498"/>
      <c r="AH30" s="497">
        <f>SUM(AH31:AH34)</f>
        <v>-180</v>
      </c>
      <c r="AI30" s="356">
        <f>SUM(AI31:AI34)</f>
        <v>94</v>
      </c>
      <c r="AJ30" s="356">
        <f>SUM(AJ31:AJ34)</f>
        <v>-554</v>
      </c>
      <c r="AK30" s="356">
        <v>112</v>
      </c>
      <c r="AL30" s="356">
        <v>-528</v>
      </c>
      <c r="AM30" s="356">
        <v>-502</v>
      </c>
      <c r="AN30" s="356">
        <v>326</v>
      </c>
      <c r="AO30" s="356">
        <f>SUM(AO31:AO34)</f>
        <v>100</v>
      </c>
      <c r="AP30" s="499">
        <f>AQ30-AO30-AN30-AM30</f>
        <v>48</v>
      </c>
      <c r="AQ30" s="499">
        <v>-28</v>
      </c>
      <c r="AR30" s="356">
        <v>-302</v>
      </c>
      <c r="AS30" s="356">
        <v>93</v>
      </c>
      <c r="AT30" s="356">
        <v>-165</v>
      </c>
      <c r="AU30" s="356">
        <v>-97</v>
      </c>
      <c r="AV30" s="356">
        <v>-471</v>
      </c>
      <c r="AW30" s="356">
        <v>-107</v>
      </c>
      <c r="AX30" s="356">
        <v>-251</v>
      </c>
      <c r="AY30" s="356">
        <v>-337</v>
      </c>
      <c r="AZ30" s="356">
        <f t="shared" si="1"/>
        <v>423</v>
      </c>
      <c r="BA30" s="356">
        <v>-272</v>
      </c>
      <c r="BB30" s="356">
        <v>74</v>
      </c>
      <c r="BC30" s="356">
        <v>109</v>
      </c>
      <c r="BD30" s="273">
        <v>-267</v>
      </c>
    </row>
    <row r="31" spans="1:56" ht="11.25">
      <c r="A31" s="501"/>
      <c r="B31" s="579" t="s">
        <v>90</v>
      </c>
      <c r="C31" s="510"/>
      <c r="D31" s="503">
        <v>0</v>
      </c>
      <c r="E31" s="504">
        <v>0</v>
      </c>
      <c r="F31" s="504">
        <v>0</v>
      </c>
      <c r="G31" s="504">
        <v>0</v>
      </c>
      <c r="H31" s="504">
        <v>0</v>
      </c>
      <c r="I31" s="505"/>
      <c r="J31" s="504">
        <v>0</v>
      </c>
      <c r="K31" s="504">
        <v>-2</v>
      </c>
      <c r="L31" s="504">
        <v>-11</v>
      </c>
      <c r="M31" s="504">
        <v>1</v>
      </c>
      <c r="N31" s="504">
        <v>-12</v>
      </c>
      <c r="O31" s="505"/>
      <c r="P31" s="504">
        <v>-8</v>
      </c>
      <c r="Q31" s="504">
        <v>-2</v>
      </c>
      <c r="R31" s="504">
        <v>-1</v>
      </c>
      <c r="S31" s="504">
        <v>28</v>
      </c>
      <c r="T31" s="504">
        <f>26-9</f>
        <v>17</v>
      </c>
      <c r="U31" s="505"/>
      <c r="V31" s="504">
        <v>-13</v>
      </c>
      <c r="W31" s="504">
        <v>-14</v>
      </c>
      <c r="X31" s="504">
        <v>-3</v>
      </c>
      <c r="Y31" s="504">
        <v>0</v>
      </c>
      <c r="Z31" s="504">
        <f t="shared" si="0"/>
        <v>-30</v>
      </c>
      <c r="AA31" s="505"/>
      <c r="AB31" s="504">
        <v>15</v>
      </c>
      <c r="AC31" s="504">
        <v>11</v>
      </c>
      <c r="AD31" s="504">
        <v>2</v>
      </c>
      <c r="AE31" s="504">
        <v>-17</v>
      </c>
      <c r="AF31" s="504">
        <v>11</v>
      </c>
      <c r="AG31" s="505"/>
      <c r="AH31" s="504">
        <v>-12</v>
      </c>
      <c r="AI31" s="397">
        <f>2-7</f>
        <v>-5</v>
      </c>
      <c r="AJ31" s="397">
        <v>-1</v>
      </c>
      <c r="AK31" s="397">
        <v>-4</v>
      </c>
      <c r="AL31" s="397">
        <v>-22</v>
      </c>
      <c r="AM31" s="397">
        <v>-3</v>
      </c>
      <c r="AN31" s="397">
        <v>-3</v>
      </c>
      <c r="AO31" s="397">
        <v>1</v>
      </c>
      <c r="AP31" s="506">
        <v>-2</v>
      </c>
      <c r="AQ31" s="506">
        <f>AP31+AO31+AN31+AM31</f>
        <v>-7</v>
      </c>
      <c r="AR31" s="397">
        <v>-1</v>
      </c>
      <c r="AS31" s="397">
        <v>-3</v>
      </c>
      <c r="AT31" s="397">
        <v>0</v>
      </c>
      <c r="AU31" s="397">
        <v>-6</v>
      </c>
      <c r="AV31" s="397">
        <v>-10</v>
      </c>
      <c r="AW31" s="397">
        <v>0</v>
      </c>
      <c r="AX31" s="397">
        <v>-4</v>
      </c>
      <c r="AY31" s="397">
        <v>0</v>
      </c>
      <c r="AZ31" s="397">
        <f t="shared" si="1"/>
        <v>-15</v>
      </c>
      <c r="BA31" s="397">
        <v>-19</v>
      </c>
      <c r="BB31" s="397">
        <v>0</v>
      </c>
      <c r="BC31" s="397">
        <v>-6</v>
      </c>
      <c r="BD31" s="272">
        <v>0</v>
      </c>
    </row>
    <row r="32" spans="1:56" ht="11.25">
      <c r="A32" s="501"/>
      <c r="B32" s="579" t="s">
        <v>91</v>
      </c>
      <c r="C32" s="510"/>
      <c r="D32" s="503">
        <v>-37</v>
      </c>
      <c r="E32" s="504">
        <v>-40</v>
      </c>
      <c r="F32" s="504">
        <v>-40</v>
      </c>
      <c r="G32" s="504">
        <v>-6</v>
      </c>
      <c r="H32" s="504">
        <v>-123</v>
      </c>
      <c r="I32" s="505"/>
      <c r="J32" s="504">
        <v>-49</v>
      </c>
      <c r="K32" s="504">
        <v>-78</v>
      </c>
      <c r="L32" s="504">
        <v>-11</v>
      </c>
      <c r="M32" s="504">
        <v>-18</v>
      </c>
      <c r="N32" s="504">
        <v>-156</v>
      </c>
      <c r="O32" s="505"/>
      <c r="P32" s="504">
        <v>-15</v>
      </c>
      <c r="Q32" s="504">
        <v>-16</v>
      </c>
      <c r="R32" s="504">
        <v>-18</v>
      </c>
      <c r="S32" s="504">
        <v>-36</v>
      </c>
      <c r="T32" s="504">
        <v>-85</v>
      </c>
      <c r="U32" s="505"/>
      <c r="V32" s="504">
        <v>-32</v>
      </c>
      <c r="W32" s="504">
        <v>-21</v>
      </c>
      <c r="X32" s="504">
        <v>-22</v>
      </c>
      <c r="Y32" s="504">
        <f>-96+32+21+22</f>
        <v>-21</v>
      </c>
      <c r="Z32" s="504">
        <f t="shared" si="0"/>
        <v>-96</v>
      </c>
      <c r="AA32" s="505"/>
      <c r="AB32" s="504">
        <v>-25</v>
      </c>
      <c r="AC32" s="504">
        <v>-27</v>
      </c>
      <c r="AD32" s="504">
        <v>-40</v>
      </c>
      <c r="AE32" s="504">
        <v>-1</v>
      </c>
      <c r="AF32" s="504">
        <v>-93</v>
      </c>
      <c r="AG32" s="505"/>
      <c r="AH32" s="504">
        <v>-40</v>
      </c>
      <c r="AI32" s="397">
        <v>-45</v>
      </c>
      <c r="AJ32" s="397">
        <v>3</v>
      </c>
      <c r="AK32" s="397">
        <v>-108</v>
      </c>
      <c r="AL32" s="397">
        <v>-190</v>
      </c>
      <c r="AM32" s="397">
        <v>-45</v>
      </c>
      <c r="AN32" s="397">
        <v>-51</v>
      </c>
      <c r="AO32" s="397">
        <v>-6</v>
      </c>
      <c r="AP32" s="506">
        <v>-29</v>
      </c>
      <c r="AQ32" s="506">
        <f>AP32+AO32+AN32+AM32</f>
        <v>-131</v>
      </c>
      <c r="AR32" s="397">
        <v>-21</v>
      </c>
      <c r="AS32" s="397">
        <v>-27</v>
      </c>
      <c r="AT32" s="397">
        <v>-17</v>
      </c>
      <c r="AU32" s="397">
        <v>-29</v>
      </c>
      <c r="AV32" s="397">
        <v>-94</v>
      </c>
      <c r="AW32" s="397">
        <v>-16</v>
      </c>
      <c r="AX32" s="397">
        <v>5</v>
      </c>
      <c r="AY32" s="397">
        <v>-4</v>
      </c>
      <c r="AZ32" s="397">
        <f t="shared" si="1"/>
        <v>-3</v>
      </c>
      <c r="BA32" s="397">
        <v>-18</v>
      </c>
      <c r="BB32" s="397">
        <v>-4</v>
      </c>
      <c r="BC32" s="397">
        <v>-8</v>
      </c>
      <c r="BD32" s="272">
        <v>-24</v>
      </c>
    </row>
    <row r="33" spans="1:56" ht="15" customHeight="1">
      <c r="A33" s="501"/>
      <c r="B33" s="579" t="s">
        <v>92</v>
      </c>
      <c r="C33" s="510"/>
      <c r="D33" s="503">
        <v>5</v>
      </c>
      <c r="E33" s="504">
        <v>3</v>
      </c>
      <c r="F33" s="504">
        <v>-70</v>
      </c>
      <c r="G33" s="504">
        <v>-64</v>
      </c>
      <c r="H33" s="504">
        <v>-126</v>
      </c>
      <c r="I33" s="505"/>
      <c r="J33" s="504">
        <v>-59</v>
      </c>
      <c r="K33" s="504">
        <v>72</v>
      </c>
      <c r="L33" s="504">
        <v>2</v>
      </c>
      <c r="M33" s="504">
        <v>-44</v>
      </c>
      <c r="N33" s="504">
        <v>-29</v>
      </c>
      <c r="O33" s="505"/>
      <c r="P33" s="504">
        <v>276</v>
      </c>
      <c r="Q33" s="504">
        <v>-346</v>
      </c>
      <c r="R33" s="504">
        <f>70+177</f>
        <v>247</v>
      </c>
      <c r="S33" s="504">
        <v>-578</v>
      </c>
      <c r="T33" s="504">
        <v>-401</v>
      </c>
      <c r="U33" s="505"/>
      <c r="V33" s="504">
        <v>372</v>
      </c>
      <c r="W33" s="504">
        <f>443</f>
        <v>443</v>
      </c>
      <c r="X33" s="504">
        <v>100</v>
      </c>
      <c r="Y33" s="504">
        <f>1251-372-443-100</f>
        <v>336</v>
      </c>
      <c r="Z33" s="504">
        <f t="shared" si="0"/>
        <v>1251</v>
      </c>
      <c r="AA33" s="505"/>
      <c r="AB33" s="504">
        <v>149</v>
      </c>
      <c r="AC33" s="504">
        <v>-682</v>
      </c>
      <c r="AD33" s="504">
        <v>146</v>
      </c>
      <c r="AE33" s="504">
        <v>-206</v>
      </c>
      <c r="AF33" s="504">
        <v>-593</v>
      </c>
      <c r="AG33" s="505"/>
      <c r="AH33" s="504">
        <v>-107</v>
      </c>
      <c r="AI33" s="397">
        <v>165</v>
      </c>
      <c r="AJ33" s="397">
        <v>-532</v>
      </c>
      <c r="AK33" s="397">
        <v>266</v>
      </c>
      <c r="AL33" s="397">
        <v>-208</v>
      </c>
      <c r="AM33" s="397">
        <v>-435</v>
      </c>
      <c r="AN33" s="397">
        <v>398</v>
      </c>
      <c r="AO33" s="397">
        <v>117</v>
      </c>
      <c r="AP33" s="506">
        <v>108</v>
      </c>
      <c r="AQ33" s="506">
        <f>AP33+AO33+AN33+AM33</f>
        <v>188</v>
      </c>
      <c r="AR33" s="397">
        <v>-260</v>
      </c>
      <c r="AS33" s="397">
        <v>140</v>
      </c>
      <c r="AT33" s="397">
        <v>-135</v>
      </c>
      <c r="AU33" s="397">
        <v>-44</v>
      </c>
      <c r="AV33" s="397">
        <v>-299</v>
      </c>
      <c r="AW33" s="397">
        <v>-64</v>
      </c>
      <c r="AX33" s="397">
        <v>-239</v>
      </c>
      <c r="AY33" s="397">
        <v>-314</v>
      </c>
      <c r="AZ33" s="397">
        <f>BA33-AY33-AX33-AW33</f>
        <v>438</v>
      </c>
      <c r="BA33" s="397">
        <v>-179</v>
      </c>
      <c r="BB33" s="397">
        <v>94</v>
      </c>
      <c r="BC33" s="397">
        <v>140</v>
      </c>
      <c r="BD33" s="272">
        <v>-183</v>
      </c>
    </row>
    <row r="34" spans="1:56" ht="15" customHeight="1">
      <c r="A34" s="501"/>
      <c r="B34" s="509" t="s">
        <v>93</v>
      </c>
      <c r="C34" s="510"/>
      <c r="D34" s="503">
        <v>-17</v>
      </c>
      <c r="E34" s="504">
        <v>-13</v>
      </c>
      <c r="F34" s="504">
        <v>-18</v>
      </c>
      <c r="G34" s="504">
        <v>-29</v>
      </c>
      <c r="H34" s="504">
        <v>-77</v>
      </c>
      <c r="I34" s="505"/>
      <c r="J34" s="504">
        <v>-28</v>
      </c>
      <c r="K34" s="504">
        <v>-27</v>
      </c>
      <c r="L34" s="504">
        <v>-33</v>
      </c>
      <c r="M34" s="504">
        <v>-21</v>
      </c>
      <c r="N34" s="504">
        <v>-109</v>
      </c>
      <c r="O34" s="505"/>
      <c r="P34" s="504">
        <f>-31+8</f>
        <v>-23</v>
      </c>
      <c r="Q34" s="504">
        <f>-27+2</f>
        <v>-25</v>
      </c>
      <c r="R34" s="504">
        <v>-36</v>
      </c>
      <c r="S34" s="504">
        <v>-29</v>
      </c>
      <c r="T34" s="504">
        <v>-113</v>
      </c>
      <c r="U34" s="505"/>
      <c r="V34" s="504">
        <v>-26</v>
      </c>
      <c r="W34" s="504">
        <v>-25</v>
      </c>
      <c r="X34" s="504">
        <v>-27</v>
      </c>
      <c r="Y34" s="504">
        <v>-27</v>
      </c>
      <c r="Z34" s="504">
        <f t="shared" si="0"/>
        <v>-105</v>
      </c>
      <c r="AA34" s="505"/>
      <c r="AB34" s="504">
        <v>-27</v>
      </c>
      <c r="AC34" s="504">
        <v>-17</v>
      </c>
      <c r="AD34" s="504">
        <f>-9-16</f>
        <v>-25</v>
      </c>
      <c r="AE34" s="504">
        <v>-17</v>
      </c>
      <c r="AF34" s="504">
        <v>-86</v>
      </c>
      <c r="AG34" s="505"/>
      <c r="AH34" s="504">
        <v>-21</v>
      </c>
      <c r="AI34" s="397">
        <f>94-115</f>
        <v>-21</v>
      </c>
      <c r="AJ34" s="397">
        <f>-10-14</f>
        <v>-24</v>
      </c>
      <c r="AK34" s="397">
        <v>-42</v>
      </c>
      <c r="AL34" s="397">
        <v>-108</v>
      </c>
      <c r="AM34" s="397">
        <v>-19</v>
      </c>
      <c r="AN34" s="397">
        <v>-18</v>
      </c>
      <c r="AO34" s="397">
        <v>-12</v>
      </c>
      <c r="AP34" s="506">
        <v>-29</v>
      </c>
      <c r="AQ34" s="506">
        <f>AP34+AO34+AN34+AM34</f>
        <v>-78</v>
      </c>
      <c r="AR34" s="397">
        <v>-20</v>
      </c>
      <c r="AS34" s="397">
        <v>-17</v>
      </c>
      <c r="AT34" s="397">
        <v>-13</v>
      </c>
      <c r="AU34" s="397">
        <v>-18</v>
      </c>
      <c r="AV34" s="397">
        <v>-68</v>
      </c>
      <c r="AW34" s="397">
        <v>-27</v>
      </c>
      <c r="AX34" s="397">
        <v>-13</v>
      </c>
      <c r="AY34" s="397">
        <v>-19</v>
      </c>
      <c r="AZ34" s="397">
        <f t="shared" si="1"/>
        <v>3</v>
      </c>
      <c r="BA34" s="397">
        <v>-56</v>
      </c>
      <c r="BB34" s="397">
        <v>-16</v>
      </c>
      <c r="BC34" s="397">
        <v>-17</v>
      </c>
      <c r="BD34" s="272">
        <v>-60</v>
      </c>
    </row>
    <row r="35" spans="1:56" ht="11.25">
      <c r="A35" s="501"/>
      <c r="B35" s="577" t="s">
        <v>94</v>
      </c>
      <c r="C35" s="493"/>
      <c r="D35" s="496">
        <f>D18+D21+D26+D30</f>
        <v>626</v>
      </c>
      <c r="E35" s="497">
        <f>E18+E21+E26+E30</f>
        <v>919</v>
      </c>
      <c r="F35" s="497">
        <f>F18+F21+F26+F30</f>
        <v>942</v>
      </c>
      <c r="G35" s="497">
        <f>G18+G21+G26+G30</f>
        <v>618</v>
      </c>
      <c r="H35" s="497">
        <f>H18+H21+H26+H30</f>
        <v>3105</v>
      </c>
      <c r="I35" s="505"/>
      <c r="J35" s="497">
        <f>J18+J21+J26+J30</f>
        <v>577</v>
      </c>
      <c r="K35" s="497">
        <f>K18+K21+K26+K30</f>
        <v>1117</v>
      </c>
      <c r="L35" s="497">
        <f>L18+L21+L26+L30</f>
        <v>330</v>
      </c>
      <c r="M35" s="497">
        <f>M18+M21+M26+M30</f>
        <v>-6589</v>
      </c>
      <c r="N35" s="497">
        <f>N18+N21+N26+N30</f>
        <v>-4565</v>
      </c>
      <c r="O35" s="505"/>
      <c r="P35" s="497">
        <f>P18+P21+P26+P30</f>
        <v>400</v>
      </c>
      <c r="Q35" s="497">
        <f>Q18+Q21+Q26+Q30</f>
        <v>340</v>
      </c>
      <c r="R35" s="497">
        <f>R18+R21+R26+R30</f>
        <v>531</v>
      </c>
      <c r="S35" s="497">
        <f>S18+S21+S26+S30</f>
        <v>-3806</v>
      </c>
      <c r="T35" s="497">
        <f>T18+T21+T26+T30</f>
        <v>-2535</v>
      </c>
      <c r="U35" s="505"/>
      <c r="V35" s="497">
        <f>V18+V21+V26+V30</f>
        <v>1031</v>
      </c>
      <c r="W35" s="497">
        <f>W18+W21+W26+W30</f>
        <v>618</v>
      </c>
      <c r="X35" s="497">
        <f>X18+X21+X26+X30</f>
        <v>788</v>
      </c>
      <c r="Y35" s="497">
        <f>Y18+Y21+Y26+Y30</f>
        <v>635</v>
      </c>
      <c r="Z35" s="497">
        <f t="shared" si="0"/>
        <v>3072</v>
      </c>
      <c r="AA35" s="505"/>
      <c r="AB35" s="497">
        <f>AB18+AB21+AB26+AB30</f>
        <v>661</v>
      </c>
      <c r="AC35" s="497">
        <f>AC18+AC21+AC26+AC30</f>
        <v>323</v>
      </c>
      <c r="AD35" s="497">
        <f>AD18+AD21+AD26+AD30</f>
        <v>608</v>
      </c>
      <c r="AE35" s="497">
        <f>AE18+AE21+AE26+AE30</f>
        <v>920</v>
      </c>
      <c r="AF35" s="497">
        <f>AF18+AF21+AF26+AF30</f>
        <v>2526</v>
      </c>
      <c r="AG35" s="505"/>
      <c r="AH35" s="497">
        <f>AH18+AH21+AH26+AH30</f>
        <v>838</v>
      </c>
      <c r="AI35" s="356">
        <f>AI18+AI21+AI26+AI30</f>
        <v>614</v>
      </c>
      <c r="AJ35" s="356">
        <f>AJ18+AJ21+AJ26+AJ30</f>
        <v>972</v>
      </c>
      <c r="AK35" s="356">
        <v>-302</v>
      </c>
      <c r="AL35" s="356">
        <v>2122</v>
      </c>
      <c r="AM35" s="356">
        <v>929</v>
      </c>
      <c r="AN35" s="356">
        <v>178</v>
      </c>
      <c r="AO35" s="356">
        <f>AO18+AO21+AO26+AO30</f>
        <v>772</v>
      </c>
      <c r="AP35" s="499">
        <v>877</v>
      </c>
      <c r="AQ35" s="499">
        <v>2756</v>
      </c>
      <c r="AR35" s="356">
        <v>1862</v>
      </c>
      <c r="AS35" s="356">
        <v>2767</v>
      </c>
      <c r="AT35" s="356">
        <v>1476</v>
      </c>
      <c r="AU35" s="356">
        <v>1719</v>
      </c>
      <c r="AV35" s="356">
        <v>7824</v>
      </c>
      <c r="AW35" s="356">
        <v>2508</v>
      </c>
      <c r="AX35" s="356">
        <v>2806</v>
      </c>
      <c r="AY35" s="356">
        <v>1551</v>
      </c>
      <c r="AZ35" s="356">
        <f t="shared" si="1"/>
        <v>-376</v>
      </c>
      <c r="BA35" s="356">
        <v>6489</v>
      </c>
      <c r="BB35" s="356">
        <v>513</v>
      </c>
      <c r="BC35" s="356">
        <v>390</v>
      </c>
      <c r="BD35" s="273">
        <v>789</v>
      </c>
    </row>
    <row r="36" spans="1:56" ht="11.25">
      <c r="A36" s="501"/>
      <c r="B36" s="582" t="s">
        <v>95</v>
      </c>
      <c r="C36" s="502"/>
      <c r="D36" s="503">
        <v>-208</v>
      </c>
      <c r="E36" s="504">
        <v>-235</v>
      </c>
      <c r="F36" s="504">
        <v>-262</v>
      </c>
      <c r="G36" s="504">
        <v>58</v>
      </c>
      <c r="H36" s="504">
        <v>-647</v>
      </c>
      <c r="I36" s="505"/>
      <c r="J36" s="504">
        <v>-179</v>
      </c>
      <c r="K36" s="504">
        <v>-320</v>
      </c>
      <c r="L36" s="504">
        <v>-113</v>
      </c>
      <c r="M36" s="504">
        <f>N36-SUM(J36:L36)</f>
        <v>725</v>
      </c>
      <c r="N36" s="504">
        <v>113</v>
      </c>
      <c r="O36" s="505"/>
      <c r="P36" s="504">
        <v>-180</v>
      </c>
      <c r="Q36" s="504">
        <v>-205</v>
      </c>
      <c r="R36" s="504">
        <v>-200</v>
      </c>
      <c r="S36" s="504">
        <v>-63</v>
      </c>
      <c r="T36" s="504">
        <v>-648</v>
      </c>
      <c r="U36" s="505"/>
      <c r="V36" s="504">
        <v>-321</v>
      </c>
      <c r="W36" s="504">
        <f>-186-88</f>
        <v>-274</v>
      </c>
      <c r="X36" s="504">
        <v>-182</v>
      </c>
      <c r="Y36" s="504">
        <f>-774+321+274+182</f>
        <v>3</v>
      </c>
      <c r="Z36" s="504">
        <f t="shared" si="0"/>
        <v>-774</v>
      </c>
      <c r="AA36" s="505"/>
      <c r="AB36" s="504">
        <v>-222</v>
      </c>
      <c r="AC36" s="504">
        <v>-151</v>
      </c>
      <c r="AD36" s="504">
        <v>-243</v>
      </c>
      <c r="AE36" s="504">
        <v>-192</v>
      </c>
      <c r="AF36" s="504">
        <v>-808</v>
      </c>
      <c r="AG36" s="505"/>
      <c r="AH36" s="504">
        <v>-286</v>
      </c>
      <c r="AI36" s="397">
        <v>-196</v>
      </c>
      <c r="AJ36" s="397">
        <v>-276</v>
      </c>
      <c r="AK36" s="397">
        <v>57</v>
      </c>
      <c r="AL36" s="397">
        <v>-701</v>
      </c>
      <c r="AM36" s="397">
        <v>-239</v>
      </c>
      <c r="AN36" s="397">
        <v>-169</v>
      </c>
      <c r="AO36" s="397">
        <v>-299</v>
      </c>
      <c r="AP36" s="506">
        <v>-252</v>
      </c>
      <c r="AQ36" s="506">
        <v>-959</v>
      </c>
      <c r="AR36" s="397">
        <v>-497</v>
      </c>
      <c r="AS36" s="397">
        <v>-409</v>
      </c>
      <c r="AT36" s="397">
        <v>-437</v>
      </c>
      <c r="AU36" s="397">
        <v>-326</v>
      </c>
      <c r="AV36" s="397">
        <v>-1669</v>
      </c>
      <c r="AW36" s="397">
        <v>-609</v>
      </c>
      <c r="AX36" s="397">
        <v>-525</v>
      </c>
      <c r="AY36" s="397">
        <v>-464</v>
      </c>
      <c r="AZ36" s="397">
        <f t="shared" si="1"/>
        <v>-117</v>
      </c>
      <c r="BA36" s="397">
        <v>-1715</v>
      </c>
      <c r="BB36" s="397">
        <v>-349</v>
      </c>
      <c r="BC36" s="397">
        <v>-153</v>
      </c>
      <c r="BD36" s="272">
        <v>-354</v>
      </c>
    </row>
    <row r="37" spans="2:56" ht="11.25">
      <c r="B37" s="577" t="s">
        <v>96</v>
      </c>
      <c r="C37" s="514"/>
      <c r="D37" s="496">
        <f>D35+D36</f>
        <v>418</v>
      </c>
      <c r="E37" s="497">
        <f>E35+E36</f>
        <v>684</v>
      </c>
      <c r="F37" s="497">
        <f>F35+F36</f>
        <v>680</v>
      </c>
      <c r="G37" s="497">
        <f>G35+G36</f>
        <v>676</v>
      </c>
      <c r="H37" s="497">
        <f>H35+H36</f>
        <v>2458</v>
      </c>
      <c r="I37" s="505"/>
      <c r="J37" s="497">
        <f>J35+J36</f>
        <v>398</v>
      </c>
      <c r="K37" s="497">
        <f>K35+K36</f>
        <v>797</v>
      </c>
      <c r="L37" s="497">
        <f>L35+L36</f>
        <v>217</v>
      </c>
      <c r="M37" s="497">
        <f>M35+M36</f>
        <v>-5864</v>
      </c>
      <c r="N37" s="497">
        <f>N35+N36</f>
        <v>-4452</v>
      </c>
      <c r="O37" s="505"/>
      <c r="P37" s="497">
        <f aca="true" t="shared" si="6" ref="P37:Y37">P35+P36</f>
        <v>220</v>
      </c>
      <c r="Q37" s="497">
        <f t="shared" si="6"/>
        <v>135</v>
      </c>
      <c r="R37" s="497">
        <f t="shared" si="6"/>
        <v>331</v>
      </c>
      <c r="S37" s="497">
        <f t="shared" si="6"/>
        <v>-3869</v>
      </c>
      <c r="T37" s="497">
        <f t="shared" si="6"/>
        <v>-3183</v>
      </c>
      <c r="U37" s="505"/>
      <c r="V37" s="497">
        <f t="shared" si="6"/>
        <v>710</v>
      </c>
      <c r="W37" s="497">
        <f t="shared" si="6"/>
        <v>344</v>
      </c>
      <c r="X37" s="497">
        <f t="shared" si="6"/>
        <v>606</v>
      </c>
      <c r="Y37" s="497">
        <f t="shared" si="6"/>
        <v>638</v>
      </c>
      <c r="Z37" s="497">
        <f t="shared" si="0"/>
        <v>2298</v>
      </c>
      <c r="AA37" s="505"/>
      <c r="AB37" s="497">
        <v>439</v>
      </c>
      <c r="AC37" s="497">
        <v>172</v>
      </c>
      <c r="AD37" s="497">
        <f>AD35+AD36</f>
        <v>365</v>
      </c>
      <c r="AE37" s="497">
        <f>AE35+AE36</f>
        <v>728</v>
      </c>
      <c r="AF37" s="497">
        <f>AF35+AF36</f>
        <v>1718</v>
      </c>
      <c r="AG37" s="505"/>
      <c r="AH37" s="497">
        <f>AH35+AH36</f>
        <v>552</v>
      </c>
      <c r="AI37" s="356">
        <f>AI35+AI36</f>
        <v>418</v>
      </c>
      <c r="AJ37" s="356">
        <f>AJ35+AJ36</f>
        <v>696</v>
      </c>
      <c r="AK37" s="356">
        <v>-245</v>
      </c>
      <c r="AL37" s="356">
        <v>1421</v>
      </c>
      <c r="AM37" s="356">
        <v>690</v>
      </c>
      <c r="AN37" s="356">
        <v>9</v>
      </c>
      <c r="AO37" s="356">
        <f>AO35+AO36</f>
        <v>473</v>
      </c>
      <c r="AP37" s="499">
        <v>625</v>
      </c>
      <c r="AQ37" s="499">
        <v>1797</v>
      </c>
      <c r="AR37" s="356">
        <v>1365</v>
      </c>
      <c r="AS37" s="356">
        <v>2358</v>
      </c>
      <c r="AT37" s="356">
        <v>1039</v>
      </c>
      <c r="AU37" s="356">
        <v>1393</v>
      </c>
      <c r="AV37" s="356">
        <v>6155</v>
      </c>
      <c r="AW37" s="356">
        <v>1899</v>
      </c>
      <c r="AX37" s="356">
        <v>2281</v>
      </c>
      <c r="AY37" s="356">
        <v>1087</v>
      </c>
      <c r="AZ37" s="356">
        <f t="shared" si="1"/>
        <v>-493</v>
      </c>
      <c r="BA37" s="356">
        <v>4774</v>
      </c>
      <c r="BB37" s="356">
        <v>164</v>
      </c>
      <c r="BC37" s="356">
        <v>237</v>
      </c>
      <c r="BD37" s="273">
        <v>435</v>
      </c>
    </row>
    <row r="38" spans="4:56" ht="11.25">
      <c r="D38" s="515"/>
      <c r="E38" s="515"/>
      <c r="F38" s="515"/>
      <c r="G38" s="515"/>
      <c r="H38" s="515"/>
      <c r="I38" s="516"/>
      <c r="J38" s="515"/>
      <c r="K38" s="515"/>
      <c r="L38" s="515"/>
      <c r="M38" s="515"/>
      <c r="N38" s="515"/>
      <c r="O38" s="516"/>
      <c r="P38" s="515"/>
      <c r="Q38" s="515"/>
      <c r="R38" s="515"/>
      <c r="S38" s="515"/>
      <c r="T38" s="515"/>
      <c r="U38" s="516"/>
      <c r="V38" s="515"/>
      <c r="W38" s="515"/>
      <c r="X38" s="515"/>
      <c r="Y38" s="515"/>
      <c r="Z38" s="515"/>
      <c r="AA38" s="516"/>
      <c r="AB38" s="515"/>
      <c r="AC38" s="515"/>
      <c r="AD38" s="515"/>
      <c r="AE38" s="515"/>
      <c r="AF38" s="515"/>
      <c r="AG38" s="516"/>
      <c r="AH38" s="515"/>
      <c r="AI38" s="517"/>
      <c r="AJ38" s="160"/>
      <c r="AK38" s="160"/>
      <c r="AL38" s="160"/>
      <c r="AO38" s="177"/>
      <c r="AP38" s="499"/>
      <c r="AQ38" s="499"/>
      <c r="AR38" s="356"/>
      <c r="AS38" s="356"/>
      <c r="AT38" s="356"/>
      <c r="AU38" s="356"/>
      <c r="AV38" s="356"/>
      <c r="AW38" s="356"/>
      <c r="AX38" s="356"/>
      <c r="AY38" s="356"/>
      <c r="AZ38" s="356"/>
      <c r="BA38" s="356"/>
      <c r="BB38" s="356"/>
      <c r="BC38" s="356"/>
      <c r="BD38" s="356"/>
    </row>
    <row r="39" spans="2:56" ht="14.25" customHeight="1">
      <c r="B39" s="583" t="s">
        <v>97</v>
      </c>
      <c r="C39" s="518"/>
      <c r="D39" s="523">
        <v>401</v>
      </c>
      <c r="E39" s="521">
        <f>793-401</f>
        <v>392</v>
      </c>
      <c r="F39" s="521">
        <f>1196-401-392</f>
        <v>403</v>
      </c>
      <c r="G39" s="521">
        <f aca="true" t="shared" si="7" ref="G39:G44">H39-D39-E39-F39</f>
        <v>439</v>
      </c>
      <c r="H39" s="521">
        <v>1635</v>
      </c>
      <c r="I39" s="522"/>
      <c r="J39" s="521">
        <v>564</v>
      </c>
      <c r="K39" s="521">
        <f>944-564</f>
        <v>380</v>
      </c>
      <c r="L39" s="521">
        <f>1474-380-564</f>
        <v>530</v>
      </c>
      <c r="M39" s="521">
        <f aca="true" t="shared" si="8" ref="M39:M44">N39-SUM(J39:L39)</f>
        <v>469</v>
      </c>
      <c r="N39" s="521">
        <v>1943</v>
      </c>
      <c r="O39" s="520"/>
      <c r="P39" s="497">
        <v>397</v>
      </c>
      <c r="Q39" s="497">
        <f>810-397</f>
        <v>413</v>
      </c>
      <c r="R39" s="497">
        <f>1241-397-413</f>
        <v>431</v>
      </c>
      <c r="S39" s="497">
        <f aca="true" t="shared" si="9" ref="S39:S44">T39-P39-Q39-R39</f>
        <v>702</v>
      </c>
      <c r="T39" s="521">
        <v>1943</v>
      </c>
      <c r="U39" s="522"/>
      <c r="V39" s="521">
        <v>371</v>
      </c>
      <c r="W39" s="521">
        <f>772-371</f>
        <v>401</v>
      </c>
      <c r="X39" s="521">
        <f>772-371</f>
        <v>401</v>
      </c>
      <c r="Y39" s="521">
        <f>1609-401-401-371</f>
        <v>436</v>
      </c>
      <c r="Z39" s="521">
        <v>1609</v>
      </c>
      <c r="AA39" s="522"/>
      <c r="AB39" s="521">
        <v>350</v>
      </c>
      <c r="AC39" s="521">
        <f>864-350</f>
        <v>514</v>
      </c>
      <c r="AD39" s="521">
        <f>1316-350-514</f>
        <v>452</v>
      </c>
      <c r="AE39" s="521">
        <v>480</v>
      </c>
      <c r="AF39" s="521">
        <v>1796</v>
      </c>
      <c r="AG39" s="522"/>
      <c r="AH39" s="521">
        <v>453</v>
      </c>
      <c r="AI39" s="149">
        <f>921-453</f>
        <v>468</v>
      </c>
      <c r="AJ39" s="149">
        <f>1358-453-468</f>
        <v>437</v>
      </c>
      <c r="AK39" s="149">
        <v>562</v>
      </c>
      <c r="AL39" s="149">
        <v>1920</v>
      </c>
      <c r="AM39" s="149">
        <v>483</v>
      </c>
      <c r="AN39" s="149">
        <v>470</v>
      </c>
      <c r="AO39" s="149">
        <v>438</v>
      </c>
      <c r="AP39" s="499">
        <v>572</v>
      </c>
      <c r="AQ39" s="499">
        <v>1963</v>
      </c>
      <c r="AR39" s="356">
        <v>495</v>
      </c>
      <c r="AS39" s="356">
        <v>525</v>
      </c>
      <c r="AT39" s="356">
        <v>578</v>
      </c>
      <c r="AU39" s="356">
        <v>525</v>
      </c>
      <c r="AV39" s="356">
        <v>2123</v>
      </c>
      <c r="AW39" s="356">
        <v>493</v>
      </c>
      <c r="AX39" s="356">
        <v>551</v>
      </c>
      <c r="AY39" s="356">
        <v>561</v>
      </c>
      <c r="AZ39" s="356">
        <f t="shared" si="1"/>
        <v>634</v>
      </c>
      <c r="BA39" s="356">
        <v>2239</v>
      </c>
      <c r="BB39" s="321"/>
      <c r="BC39" s="321"/>
      <c r="BD39" s="321"/>
    </row>
    <row r="40" spans="2:56" ht="16.5" customHeight="1">
      <c r="B40" s="121" t="s">
        <v>375</v>
      </c>
      <c r="C40" s="518"/>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56">
        <v>585</v>
      </c>
      <c r="BC40" s="356">
        <v>639</v>
      </c>
      <c r="BD40" s="273">
        <v>661</v>
      </c>
    </row>
    <row r="41" spans="2:56" s="500" customFormat="1" ht="35.25" customHeight="1">
      <c r="B41" s="494" t="s">
        <v>98</v>
      </c>
      <c r="C41" s="495"/>
      <c r="D41" s="523">
        <f>982+4+90</f>
        <v>1076</v>
      </c>
      <c r="E41" s="521">
        <f>2366-1076</f>
        <v>1290</v>
      </c>
      <c r="F41" s="521">
        <f>3683-1076-1290</f>
        <v>1317</v>
      </c>
      <c r="G41" s="521">
        <f t="shared" si="7"/>
        <v>1207</v>
      </c>
      <c r="H41" s="521">
        <f>4331+415+144</f>
        <v>4890</v>
      </c>
      <c r="I41" s="522"/>
      <c r="J41" s="521">
        <f>1095+118+68</f>
        <v>1281</v>
      </c>
      <c r="K41" s="521">
        <f>1269+64+146-68</f>
        <v>1411</v>
      </c>
      <c r="L41" s="521">
        <f>3252+286-40+211-1281-1411</f>
        <v>1017</v>
      </c>
      <c r="M41" s="521">
        <f t="shared" si="8"/>
        <v>1001</v>
      </c>
      <c r="N41" s="521">
        <f>4163+369-101+279</f>
        <v>4710</v>
      </c>
      <c r="O41" s="522"/>
      <c r="P41" s="497">
        <f>673+139+84+91</f>
        <v>987</v>
      </c>
      <c r="Q41" s="497">
        <f>1463+272+154+173-987</f>
        <v>1075</v>
      </c>
      <c r="R41" s="497">
        <f>2394+393+124+240-987-1075</f>
        <v>1089</v>
      </c>
      <c r="S41" s="497">
        <f t="shared" si="9"/>
        <v>1515</v>
      </c>
      <c r="T41" s="521">
        <f>3551+614+189+312</f>
        <v>4666</v>
      </c>
      <c r="U41" s="522"/>
      <c r="V41" s="521">
        <f>1304+75+122+80</f>
        <v>1581</v>
      </c>
      <c r="W41" s="521">
        <f>2863-1581</f>
        <v>1282</v>
      </c>
      <c r="X41" s="521">
        <f>4277-1581-1282</f>
        <v>1414</v>
      </c>
      <c r="Y41" s="521">
        <v>1476</v>
      </c>
      <c r="Z41" s="521">
        <f>4160+707+609+277</f>
        <v>5753</v>
      </c>
      <c r="AA41" s="522"/>
      <c r="AB41" s="521">
        <v>1174</v>
      </c>
      <c r="AC41" s="521">
        <f>2565-1174</f>
        <v>1391</v>
      </c>
      <c r="AD41" s="521">
        <f>3790-1391-1174</f>
        <v>1225</v>
      </c>
      <c r="AE41" s="521">
        <v>1182</v>
      </c>
      <c r="AF41" s="521">
        <v>4972</v>
      </c>
      <c r="AG41" s="522"/>
      <c r="AH41" s="521">
        <v>1454</v>
      </c>
      <c r="AI41" s="149">
        <v>1278</v>
      </c>
      <c r="AJ41" s="149">
        <v>1380</v>
      </c>
      <c r="AK41" s="149">
        <v>1117</v>
      </c>
      <c r="AL41" s="149">
        <v>5229</v>
      </c>
      <c r="AM41" s="149">
        <v>1129</v>
      </c>
      <c r="AN41" s="149">
        <v>1522</v>
      </c>
      <c r="AO41" s="149">
        <v>1767</v>
      </c>
      <c r="AP41" s="499">
        <v>2205</v>
      </c>
      <c r="AQ41" s="499">
        <v>6623</v>
      </c>
      <c r="AR41" s="356">
        <v>2608</v>
      </c>
      <c r="AS41" s="356">
        <v>2705</v>
      </c>
      <c r="AT41" s="356">
        <v>2417</v>
      </c>
      <c r="AU41" s="356">
        <v>2597</v>
      </c>
      <c r="AV41" s="356">
        <v>10327</v>
      </c>
      <c r="AW41" s="356">
        <v>3133</v>
      </c>
      <c r="AX41" s="356">
        <v>2176</v>
      </c>
      <c r="AY41" s="356">
        <v>1636</v>
      </c>
      <c r="AZ41" s="356">
        <f t="shared" si="1"/>
        <v>1920</v>
      </c>
      <c r="BA41" s="356">
        <v>8865</v>
      </c>
      <c r="BB41" s="356">
        <v>1802</v>
      </c>
      <c r="BC41" s="356">
        <v>1260</v>
      </c>
      <c r="BD41" s="273">
        <v>1173</v>
      </c>
    </row>
    <row r="42" spans="1:56" ht="11.25">
      <c r="A42" s="501"/>
      <c r="B42" s="572" t="s">
        <v>12</v>
      </c>
      <c r="C42" s="502"/>
      <c r="D42" s="503">
        <v>982</v>
      </c>
      <c r="E42" s="504">
        <f>2019-982</f>
        <v>1037</v>
      </c>
      <c r="F42" s="504">
        <f>3131-1037-982</f>
        <v>1112</v>
      </c>
      <c r="G42" s="519">
        <f t="shared" si="7"/>
        <v>1200</v>
      </c>
      <c r="H42" s="504">
        <v>4331</v>
      </c>
      <c r="I42" s="505"/>
      <c r="J42" s="504">
        <v>1095</v>
      </c>
      <c r="K42" s="504">
        <f>2364-1095</f>
        <v>1269</v>
      </c>
      <c r="L42" s="504">
        <f>3252-1095-1269</f>
        <v>888</v>
      </c>
      <c r="M42" s="504">
        <f t="shared" si="8"/>
        <v>911</v>
      </c>
      <c r="N42" s="504">
        <v>4163</v>
      </c>
      <c r="O42" s="505"/>
      <c r="P42" s="504">
        <v>673</v>
      </c>
      <c r="Q42" s="504">
        <f>1463-673</f>
        <v>790</v>
      </c>
      <c r="R42" s="504">
        <f>2394-673-790</f>
        <v>931</v>
      </c>
      <c r="S42" s="504">
        <f t="shared" si="9"/>
        <v>1157</v>
      </c>
      <c r="T42" s="504">
        <v>3551</v>
      </c>
      <c r="U42" s="505"/>
      <c r="V42" s="504">
        <v>1304</v>
      </c>
      <c r="W42" s="504">
        <f>2231-1304</f>
        <v>927</v>
      </c>
      <c r="X42" s="504">
        <f>3199-1304-927</f>
        <v>968</v>
      </c>
      <c r="Y42" s="504">
        <v>961</v>
      </c>
      <c r="Z42" s="504">
        <v>4160</v>
      </c>
      <c r="AA42" s="505"/>
      <c r="AB42" s="504">
        <v>771</v>
      </c>
      <c r="AC42" s="504">
        <f>1700-771</f>
        <v>929</v>
      </c>
      <c r="AD42" s="504">
        <f>2588-771-929</f>
        <v>888</v>
      </c>
      <c r="AE42" s="504">
        <v>828</v>
      </c>
      <c r="AF42" s="504">
        <v>3416</v>
      </c>
      <c r="AG42" s="505"/>
      <c r="AH42" s="504">
        <v>999</v>
      </c>
      <c r="AI42" s="397">
        <v>920</v>
      </c>
      <c r="AJ42" s="397">
        <f>2868-999-920</f>
        <v>949</v>
      </c>
      <c r="AK42" s="397">
        <v>751</v>
      </c>
      <c r="AL42" s="397">
        <v>3619</v>
      </c>
      <c r="AM42" s="504">
        <v>900</v>
      </c>
      <c r="AN42" s="504">
        <v>1031</v>
      </c>
      <c r="AO42" s="504">
        <v>1121</v>
      </c>
      <c r="AP42" s="506">
        <v>1406</v>
      </c>
      <c r="AQ42" s="506">
        <v>4458</v>
      </c>
      <c r="AR42" s="397">
        <v>1675</v>
      </c>
      <c r="AS42" s="397">
        <v>1482</v>
      </c>
      <c r="AT42" s="397">
        <v>1115</v>
      </c>
      <c r="AU42" s="397">
        <v>1202</v>
      </c>
      <c r="AV42" s="397">
        <v>5474</v>
      </c>
      <c r="AW42" s="397">
        <v>1924</v>
      </c>
      <c r="AX42" s="397">
        <v>1515</v>
      </c>
      <c r="AY42" s="397">
        <v>998</v>
      </c>
      <c r="AZ42" s="397">
        <f t="shared" si="1"/>
        <v>963</v>
      </c>
      <c r="BA42" s="397">
        <v>5400</v>
      </c>
      <c r="BB42" s="397">
        <v>1410</v>
      </c>
      <c r="BC42" s="397">
        <v>879</v>
      </c>
      <c r="BD42" s="272">
        <v>873</v>
      </c>
    </row>
    <row r="43" spans="1:56" ht="11.25">
      <c r="A43" s="501"/>
      <c r="B43" s="572" t="s">
        <v>13</v>
      </c>
      <c r="C43" s="502"/>
      <c r="D43" s="503">
        <v>4</v>
      </c>
      <c r="E43" s="504">
        <f>167-4</f>
        <v>163</v>
      </c>
      <c r="F43" s="504">
        <f>293-163-4</f>
        <v>126</v>
      </c>
      <c r="G43" s="519">
        <f t="shared" si="7"/>
        <v>122</v>
      </c>
      <c r="H43" s="504">
        <v>415</v>
      </c>
      <c r="I43" s="505"/>
      <c r="J43" s="504">
        <v>118</v>
      </c>
      <c r="K43" s="504">
        <f>182-118</f>
        <v>64</v>
      </c>
      <c r="L43" s="504">
        <f>286-118-64</f>
        <v>104</v>
      </c>
      <c r="M43" s="504">
        <f t="shared" si="8"/>
        <v>83</v>
      </c>
      <c r="N43" s="504">
        <v>369</v>
      </c>
      <c r="O43" s="505"/>
      <c r="P43" s="504">
        <v>139</v>
      </c>
      <c r="Q43" s="504">
        <f>272-139</f>
        <v>133</v>
      </c>
      <c r="R43" s="504">
        <f>393-139-133</f>
        <v>121</v>
      </c>
      <c r="S43" s="504">
        <f t="shared" si="9"/>
        <v>221</v>
      </c>
      <c r="T43" s="504">
        <v>614</v>
      </c>
      <c r="U43" s="505"/>
      <c r="V43" s="504">
        <v>75</v>
      </c>
      <c r="W43" s="504">
        <f>264-75</f>
        <v>189</v>
      </c>
      <c r="X43" s="504">
        <f>455-75-189</f>
        <v>191</v>
      </c>
      <c r="Y43" s="504">
        <v>252</v>
      </c>
      <c r="Z43" s="504">
        <v>707</v>
      </c>
      <c r="AA43" s="505"/>
      <c r="AB43" s="504">
        <v>168</v>
      </c>
      <c r="AC43" s="504">
        <f>380-168</f>
        <v>212</v>
      </c>
      <c r="AD43" s="504">
        <f>528-168-212</f>
        <v>148</v>
      </c>
      <c r="AE43" s="504">
        <v>194</v>
      </c>
      <c r="AF43" s="504">
        <v>722</v>
      </c>
      <c r="AG43" s="505"/>
      <c r="AH43" s="504">
        <v>170</v>
      </c>
      <c r="AI43" s="397">
        <v>166</v>
      </c>
      <c r="AJ43" s="397">
        <f>515-170-166</f>
        <v>179</v>
      </c>
      <c r="AK43" s="397">
        <v>194</v>
      </c>
      <c r="AL43" s="397">
        <v>709</v>
      </c>
      <c r="AM43" s="397">
        <v>52</v>
      </c>
      <c r="AN43" s="397">
        <v>110</v>
      </c>
      <c r="AO43" s="397">
        <v>233</v>
      </c>
      <c r="AP43" s="506">
        <v>213</v>
      </c>
      <c r="AQ43" s="506">
        <v>608</v>
      </c>
      <c r="AR43" s="397">
        <v>238</v>
      </c>
      <c r="AS43" s="397">
        <v>295</v>
      </c>
      <c r="AT43" s="397">
        <v>460</v>
      </c>
      <c r="AU43" s="397">
        <v>347</v>
      </c>
      <c r="AV43" s="397">
        <v>1340</v>
      </c>
      <c r="AW43" s="397">
        <v>361</v>
      </c>
      <c r="AX43" s="397">
        <v>213</v>
      </c>
      <c r="AY43" s="397">
        <v>136</v>
      </c>
      <c r="AZ43" s="397">
        <f t="shared" si="1"/>
        <v>291</v>
      </c>
      <c r="BA43" s="397">
        <v>1001</v>
      </c>
      <c r="BB43" s="397">
        <v>-169</v>
      </c>
      <c r="BC43" s="397">
        <v>-183</v>
      </c>
      <c r="BD43" s="272">
        <v>-113</v>
      </c>
    </row>
    <row r="44" spans="1:56" ht="11.25">
      <c r="A44" s="501"/>
      <c r="B44" s="572" t="s">
        <v>14</v>
      </c>
      <c r="C44" s="502"/>
      <c r="D44" s="503">
        <v>0</v>
      </c>
      <c r="E44" s="504">
        <v>0</v>
      </c>
      <c r="F44" s="504">
        <v>0</v>
      </c>
      <c r="G44" s="504">
        <f t="shared" si="7"/>
        <v>0</v>
      </c>
      <c r="H44" s="504">
        <v>0</v>
      </c>
      <c r="I44" s="505"/>
      <c r="J44" s="504">
        <v>0</v>
      </c>
      <c r="K44" s="504">
        <v>0</v>
      </c>
      <c r="L44" s="504">
        <v>-40</v>
      </c>
      <c r="M44" s="504">
        <f t="shared" si="8"/>
        <v>-61</v>
      </c>
      <c r="N44" s="504">
        <v>-101</v>
      </c>
      <c r="O44" s="505"/>
      <c r="P44" s="504">
        <v>84</v>
      </c>
      <c r="Q44" s="504">
        <f>154-84</f>
        <v>70</v>
      </c>
      <c r="R44" s="504">
        <f>124-84-70</f>
        <v>-30</v>
      </c>
      <c r="S44" s="504">
        <f t="shared" si="9"/>
        <v>65</v>
      </c>
      <c r="T44" s="504">
        <v>189</v>
      </c>
      <c r="U44" s="505"/>
      <c r="V44" s="504">
        <v>122</v>
      </c>
      <c r="W44" s="504">
        <f>195-122</f>
        <v>73</v>
      </c>
      <c r="X44" s="504">
        <f>378-122-73</f>
        <v>183</v>
      </c>
      <c r="Y44" s="504">
        <v>231</v>
      </c>
      <c r="Z44" s="504">
        <v>609</v>
      </c>
      <c r="AA44" s="505"/>
      <c r="AB44" s="504">
        <v>163</v>
      </c>
      <c r="AC44" s="504">
        <f>333-163</f>
        <v>170</v>
      </c>
      <c r="AD44" s="504">
        <f>484-163-170</f>
        <v>151</v>
      </c>
      <c r="AE44" s="504">
        <v>149</v>
      </c>
      <c r="AF44" s="504">
        <v>633</v>
      </c>
      <c r="AG44" s="505"/>
      <c r="AH44" s="504">
        <v>218</v>
      </c>
      <c r="AI44" s="397">
        <v>131</v>
      </c>
      <c r="AJ44" s="397">
        <f>522-218-131</f>
        <v>173</v>
      </c>
      <c r="AK44" s="397">
        <v>138</v>
      </c>
      <c r="AL44" s="397">
        <v>660</v>
      </c>
      <c r="AM44" s="397">
        <v>104</v>
      </c>
      <c r="AN44" s="397">
        <v>324</v>
      </c>
      <c r="AO44" s="397">
        <v>351</v>
      </c>
      <c r="AP44" s="506">
        <v>567</v>
      </c>
      <c r="AQ44" s="506">
        <v>1346</v>
      </c>
      <c r="AR44" s="397">
        <v>643</v>
      </c>
      <c r="AS44" s="397">
        <v>835</v>
      </c>
      <c r="AT44" s="397">
        <v>759</v>
      </c>
      <c r="AU44" s="397">
        <v>930</v>
      </c>
      <c r="AV44" s="397">
        <v>3167</v>
      </c>
      <c r="AW44" s="397">
        <v>821</v>
      </c>
      <c r="AX44" s="397">
        <v>333</v>
      </c>
      <c r="AY44" s="397">
        <v>402</v>
      </c>
      <c r="AZ44" s="397">
        <f t="shared" si="1"/>
        <v>634</v>
      </c>
      <c r="BA44" s="397">
        <v>2190</v>
      </c>
      <c r="BB44" s="397">
        <v>550</v>
      </c>
      <c r="BC44" s="397">
        <v>390</v>
      </c>
      <c r="BD44" s="272">
        <v>357</v>
      </c>
    </row>
    <row r="45" spans="2:56" s="500" customFormat="1" ht="22.5">
      <c r="B45" s="494" t="s">
        <v>99</v>
      </c>
      <c r="C45" s="495"/>
      <c r="D45" s="46">
        <f aca="true" t="shared" si="10" ref="D45:H47">D41/D11</f>
        <v>0.23139784946236558</v>
      </c>
      <c r="E45" s="23">
        <f t="shared" si="10"/>
        <v>0.2644526445264453</v>
      </c>
      <c r="F45" s="23">
        <f t="shared" si="10"/>
        <v>0.2538550501156515</v>
      </c>
      <c r="G45" s="23">
        <f t="shared" si="10"/>
        <v>0.20896814404432132</v>
      </c>
      <c r="H45" s="23">
        <f t="shared" si="10"/>
        <v>0.23862970915479212</v>
      </c>
      <c r="I45" s="51"/>
      <c r="J45" s="23">
        <f aca="true" t="shared" si="11" ref="J45:K47">J41/J11</f>
        <v>0.2707672796448954</v>
      </c>
      <c r="K45" s="23">
        <f t="shared" si="11"/>
        <v>0.2647776318258585</v>
      </c>
      <c r="L45" s="23">
        <v>0.20082938388625593</v>
      </c>
      <c r="M45" s="23">
        <v>0.1822651128914785</v>
      </c>
      <c r="N45" s="23">
        <v>0.22846332945285217</v>
      </c>
      <c r="O45" s="51"/>
      <c r="P45" s="23">
        <v>0.23344370860927152</v>
      </c>
      <c r="Q45" s="23">
        <v>0.2188963551211566</v>
      </c>
      <c r="R45" s="23">
        <v>0.21902654867256638</v>
      </c>
      <c r="S45" s="23">
        <v>0.23528498214008386</v>
      </c>
      <c r="T45" s="23">
        <v>0.22705596107055961</v>
      </c>
      <c r="U45" s="51"/>
      <c r="V45" s="23">
        <f>V41/(V11+459)</f>
        <v>0.29441340782122905</v>
      </c>
      <c r="W45" s="23">
        <f>W41/(W11+868-459)</f>
        <v>0.24601803876415276</v>
      </c>
      <c r="X45" s="23">
        <f>X41/(X11+1436-459-409)</f>
        <v>0.2646948708348933</v>
      </c>
      <c r="Y45" s="23">
        <f>Y41/(Y11+1993-459-409-568)</f>
        <v>0.22962041070317363</v>
      </c>
      <c r="Z45" s="23">
        <f>Z41/(Z11+1993)</f>
        <v>0.25739340521676884</v>
      </c>
      <c r="AA45" s="51"/>
      <c r="AB45" s="23">
        <f>AB41/(AB11+481)</f>
        <v>0.24731409311143882</v>
      </c>
      <c r="AC45" s="23">
        <f>AC41/(AC11+(908-481))</f>
        <v>0.24910458452722062</v>
      </c>
      <c r="AD45" s="23">
        <f>AD41/(AD11+(1407-908))</f>
        <v>0.2089374040593553</v>
      </c>
      <c r="AE45" s="23">
        <f>AE41/(AE11+(1407-908))</f>
        <v>0.18948380891311317</v>
      </c>
      <c r="AF45" s="23">
        <v>0.22</v>
      </c>
      <c r="AG45" s="51"/>
      <c r="AH45" s="23">
        <f>AH41/(AH11+536)</f>
        <v>0.24136786188579018</v>
      </c>
      <c r="AI45" s="150">
        <f>AI41/(AI11+471)</f>
        <v>0.2057639671550475</v>
      </c>
      <c r="AJ45" s="150">
        <f>AJ41/(AJ11+1522-471-536)</f>
        <v>0.22417153996101363</v>
      </c>
      <c r="AK45" s="150">
        <v>0.18</v>
      </c>
      <c r="AL45" s="150">
        <v>0.21</v>
      </c>
      <c r="AM45" s="150">
        <v>0.2</v>
      </c>
      <c r="AN45" s="150">
        <v>0.22</v>
      </c>
      <c r="AO45" s="150">
        <v>0.28240370784721114</v>
      </c>
      <c r="AP45" s="263">
        <v>0.28</v>
      </c>
      <c r="AQ45" s="263">
        <v>0.25</v>
      </c>
      <c r="AR45" s="279">
        <v>0.34</v>
      </c>
      <c r="AS45" s="279">
        <v>0.3</v>
      </c>
      <c r="AT45" s="279">
        <v>0.29</v>
      </c>
      <c r="AU45" s="279">
        <v>0.28</v>
      </c>
      <c r="AV45" s="279">
        <v>0.3</v>
      </c>
      <c r="AW45" s="279">
        <v>0.31</v>
      </c>
      <c r="AX45" s="279">
        <v>0.22</v>
      </c>
      <c r="AY45" s="279">
        <v>0.19</v>
      </c>
      <c r="AZ45" s="279">
        <v>0.21</v>
      </c>
      <c r="BA45" s="279">
        <v>0.23</v>
      </c>
      <c r="BB45" s="279">
        <v>0.17</v>
      </c>
      <c r="BC45" s="279">
        <v>0.14</v>
      </c>
      <c r="BD45" s="433">
        <v>0.14</v>
      </c>
    </row>
    <row r="46" spans="1:56" ht="11.25">
      <c r="A46" s="501"/>
      <c r="B46" s="572" t="s">
        <v>12</v>
      </c>
      <c r="C46" s="502"/>
      <c r="D46" s="47">
        <f t="shared" si="10"/>
        <v>0.25842105263157894</v>
      </c>
      <c r="E46" s="24">
        <f t="shared" si="10"/>
        <v>0.26406926406926406</v>
      </c>
      <c r="F46" s="24">
        <f t="shared" si="10"/>
        <v>0.27016520894071916</v>
      </c>
      <c r="G46" s="24">
        <f t="shared" si="10"/>
        <v>0.25052192066805845</v>
      </c>
      <c r="H46" s="24">
        <f t="shared" si="10"/>
        <v>0.2603859796789515</v>
      </c>
      <c r="I46" s="34"/>
      <c r="J46" s="24">
        <f t="shared" si="11"/>
        <v>0.2906822405096894</v>
      </c>
      <c r="K46" s="24">
        <f t="shared" si="11"/>
        <v>0.2934104046242775</v>
      </c>
      <c r="L46" s="24">
        <f aca="true" t="shared" si="12" ref="L46:N47">L42/L12</f>
        <v>0.24123879380603097</v>
      </c>
      <c r="M46" s="24">
        <f t="shared" si="12"/>
        <v>0.2186749879980797</v>
      </c>
      <c r="N46" s="24">
        <f t="shared" si="12"/>
        <v>0.2611832611832612</v>
      </c>
      <c r="O46" s="34"/>
      <c r="P46" s="24">
        <f aca="true" t="shared" si="13" ref="P46:T47">P42/P12</f>
        <v>0.22591473648875462</v>
      </c>
      <c r="Q46" s="24">
        <f t="shared" si="13"/>
        <v>0.2218477955630441</v>
      </c>
      <c r="R46" s="24">
        <f t="shared" si="13"/>
        <v>0.24866452991452992</v>
      </c>
      <c r="S46" s="24">
        <f t="shared" si="13"/>
        <v>0.23964374482187242</v>
      </c>
      <c r="T46" s="24">
        <f t="shared" si="13"/>
        <v>0.23497882477501322</v>
      </c>
      <c r="U46" s="34"/>
      <c r="V46" s="24">
        <f aca="true" t="shared" si="14" ref="V46:Z47">V42/V12</f>
        <v>0.3347022587268994</v>
      </c>
      <c r="W46" s="24">
        <f t="shared" si="14"/>
        <v>0.24362680683311433</v>
      </c>
      <c r="X46" s="24">
        <f t="shared" si="14"/>
        <v>0.25937834941050375</v>
      </c>
      <c r="Y46" s="24">
        <f t="shared" si="14"/>
        <v>0.20932258767153125</v>
      </c>
      <c r="Z46" s="24">
        <f t="shared" si="14"/>
        <v>0.25961058412381427</v>
      </c>
      <c r="AA46" s="34"/>
      <c r="AB46" s="24">
        <f aca="true" t="shared" si="15" ref="AB46:AE47">AB42/AB12</f>
        <v>0.2404865876481597</v>
      </c>
      <c r="AC46" s="24">
        <f t="shared" si="15"/>
        <v>0.23324127542053727</v>
      </c>
      <c r="AD46" s="24">
        <f t="shared" si="15"/>
        <v>0.21511627906976744</v>
      </c>
      <c r="AE46" s="24">
        <f t="shared" si="15"/>
        <v>0.1864864864864865</v>
      </c>
      <c r="AF46" s="24">
        <v>0.22</v>
      </c>
      <c r="AG46" s="34"/>
      <c r="AH46" s="24">
        <f aca="true" t="shared" si="16" ref="AH46:AJ47">AH42/AH12</f>
        <v>0.2314643188137164</v>
      </c>
      <c r="AI46" s="151">
        <f t="shared" si="16"/>
        <v>0.20376522702104097</v>
      </c>
      <c r="AJ46" s="151">
        <f t="shared" si="16"/>
        <v>0.22493481867741172</v>
      </c>
      <c r="AK46" s="151">
        <v>0.16</v>
      </c>
      <c r="AL46" s="151">
        <v>0.2</v>
      </c>
      <c r="AM46" s="151">
        <v>0.21</v>
      </c>
      <c r="AN46" s="151">
        <v>0.22</v>
      </c>
      <c r="AO46" s="151">
        <v>0.2511763387855702</v>
      </c>
      <c r="AP46" s="264">
        <v>0.24</v>
      </c>
      <c r="AQ46" s="264">
        <v>0.23</v>
      </c>
      <c r="AR46" s="280">
        <v>0.30077213144191056</v>
      </c>
      <c r="AS46" s="280">
        <v>0.23</v>
      </c>
      <c r="AT46" s="280">
        <v>0.19</v>
      </c>
      <c r="AU46" s="280">
        <v>0.18080625752105897</v>
      </c>
      <c r="AV46" s="280">
        <v>0.22</v>
      </c>
      <c r="AW46" s="280">
        <v>0.25</v>
      </c>
      <c r="AX46" s="280">
        <v>0.19788401253918494</v>
      </c>
      <c r="AY46" s="280">
        <v>0.15</v>
      </c>
      <c r="AZ46" s="280">
        <v>0.14</v>
      </c>
      <c r="BA46" s="280">
        <v>0.19</v>
      </c>
      <c r="BB46" s="280">
        <v>0.17</v>
      </c>
      <c r="BC46" s="280">
        <v>0.12</v>
      </c>
      <c r="BD46" s="524">
        <v>0.13</v>
      </c>
    </row>
    <row r="47" spans="1:56" ht="11.25">
      <c r="A47" s="501"/>
      <c r="B47" s="572" t="s">
        <v>13</v>
      </c>
      <c r="C47" s="502"/>
      <c r="D47" s="47">
        <f t="shared" si="10"/>
        <v>0.008849557522123894</v>
      </c>
      <c r="E47" s="24">
        <f t="shared" si="10"/>
        <v>0.29963235294117646</v>
      </c>
      <c r="F47" s="24">
        <f t="shared" si="10"/>
        <v>0.1917808219178082</v>
      </c>
      <c r="G47" s="24">
        <f t="shared" si="10"/>
        <v>0.21180555555555555</v>
      </c>
      <c r="H47" s="24">
        <f t="shared" si="10"/>
        <v>0.18618214445939885</v>
      </c>
      <c r="I47" s="34"/>
      <c r="J47" s="24">
        <f t="shared" si="11"/>
        <v>0.19063004846526657</v>
      </c>
      <c r="K47" s="24">
        <f t="shared" si="11"/>
        <v>0.10578512396694215</v>
      </c>
      <c r="L47" s="24">
        <f t="shared" si="12"/>
        <v>0.14092140921409213</v>
      </c>
      <c r="M47" s="24">
        <f t="shared" si="12"/>
        <v>0.13495934959349593</v>
      </c>
      <c r="N47" s="24">
        <f t="shared" si="12"/>
        <v>0.14318975552968569</v>
      </c>
      <c r="O47" s="34"/>
      <c r="P47" s="24">
        <f t="shared" si="13"/>
        <v>0.23639455782312926</v>
      </c>
      <c r="Q47" s="24">
        <f t="shared" si="13"/>
        <v>0.2180327868852459</v>
      </c>
      <c r="R47" s="24">
        <f t="shared" si="13"/>
        <v>0.2137809187279152</v>
      </c>
      <c r="S47" s="24">
        <f t="shared" si="13"/>
        <v>0.28664072632944226</v>
      </c>
      <c r="T47" s="24">
        <f t="shared" si="13"/>
        <v>0.24220907297830374</v>
      </c>
      <c r="U47" s="34"/>
      <c r="V47" s="24">
        <f t="shared" si="14"/>
        <v>0.12931034482758622</v>
      </c>
      <c r="W47" s="24">
        <f t="shared" si="14"/>
        <v>0.3144758735440932</v>
      </c>
      <c r="X47" s="24">
        <f t="shared" si="14"/>
        <v>0.31209150326797386</v>
      </c>
      <c r="Y47" s="24">
        <f t="shared" si="14"/>
        <v>0.311495673671199</v>
      </c>
      <c r="Z47" s="24">
        <f t="shared" si="14"/>
        <v>0.2717140661029977</v>
      </c>
      <c r="AA47" s="34"/>
      <c r="AB47" s="24">
        <f t="shared" si="15"/>
        <v>0.27586206896551724</v>
      </c>
      <c r="AC47" s="24">
        <f t="shared" si="15"/>
        <v>0.3076923076923077</v>
      </c>
      <c r="AD47" s="24">
        <f t="shared" si="15"/>
        <v>0.19759679572763686</v>
      </c>
      <c r="AE47" s="24">
        <f t="shared" si="15"/>
        <v>0.23980222496909764</v>
      </c>
      <c r="AF47" s="24">
        <v>0.25</v>
      </c>
      <c r="AG47" s="34"/>
      <c r="AH47" s="24">
        <f t="shared" si="16"/>
        <v>0.2514792899408284</v>
      </c>
      <c r="AI47" s="151">
        <f t="shared" si="16"/>
        <v>0.22493224932249323</v>
      </c>
      <c r="AJ47" s="151">
        <f t="shared" si="16"/>
        <v>0.1995540691192865</v>
      </c>
      <c r="AK47" s="151">
        <v>0.25</v>
      </c>
      <c r="AL47" s="151">
        <v>0.23</v>
      </c>
      <c r="AM47" s="151">
        <v>0.08</v>
      </c>
      <c r="AN47" s="151">
        <v>0.13</v>
      </c>
      <c r="AO47" s="151">
        <v>0.30779392338177014</v>
      </c>
      <c r="AP47" s="264">
        <v>0.31</v>
      </c>
      <c r="AQ47" s="264">
        <v>0.22</v>
      </c>
      <c r="AR47" s="280">
        <v>0.31733333333333336</v>
      </c>
      <c r="AS47" s="280">
        <v>0.45</v>
      </c>
      <c r="AT47" s="280">
        <v>0.52</v>
      </c>
      <c r="AU47" s="280">
        <v>0.41656662665066024</v>
      </c>
      <c r="AV47" s="280">
        <v>0.43</v>
      </c>
      <c r="AW47" s="280">
        <v>0.41</v>
      </c>
      <c r="AX47" s="280">
        <v>0.28783783783783784</v>
      </c>
      <c r="AY47" s="280">
        <v>0.21</v>
      </c>
      <c r="AZ47" s="280">
        <v>0.31</v>
      </c>
      <c r="BA47" s="280">
        <v>0.31</v>
      </c>
      <c r="BB47" s="642">
        <v>-0.24</v>
      </c>
      <c r="BC47" s="642">
        <v>-0.36</v>
      </c>
      <c r="BD47" s="562">
        <v>-0.24</v>
      </c>
    </row>
    <row r="48" spans="1:57" ht="13.5" customHeight="1">
      <c r="A48" s="501"/>
      <c r="B48" s="572" t="s">
        <v>14</v>
      </c>
      <c r="C48" s="502"/>
      <c r="D48" s="503">
        <v>0</v>
      </c>
      <c r="E48" s="504">
        <v>0</v>
      </c>
      <c r="F48" s="504">
        <v>0</v>
      </c>
      <c r="G48" s="504">
        <f>H48-D48-E48-F48</f>
        <v>0</v>
      </c>
      <c r="H48" s="504">
        <v>0</v>
      </c>
      <c r="I48" s="505"/>
      <c r="J48" s="504">
        <v>0</v>
      </c>
      <c r="K48" s="504">
        <v>0</v>
      </c>
      <c r="L48" s="24">
        <v>-0.15151515151515152</v>
      </c>
      <c r="M48" s="24">
        <v>-0.17732558139534885</v>
      </c>
      <c r="N48" s="24">
        <v>-0.16611842105263158</v>
      </c>
      <c r="O48" s="505"/>
      <c r="P48" s="24">
        <v>0.26582278481012656</v>
      </c>
      <c r="Q48" s="24">
        <v>0.1907356948228883</v>
      </c>
      <c r="R48" s="24">
        <v>-0.10452961672473868</v>
      </c>
      <c r="S48" s="24">
        <v>0.15330188679245282</v>
      </c>
      <c r="T48" s="24">
        <v>0.13558106169296988</v>
      </c>
      <c r="U48" s="505"/>
      <c r="V48" s="24">
        <f>V44/459</f>
        <v>0.2657952069716776</v>
      </c>
      <c r="W48" s="24">
        <f>W44/(868-459)</f>
        <v>0.1784841075794621</v>
      </c>
      <c r="X48" s="24">
        <f>X44/(1436-459-409)</f>
        <v>0.3221830985915493</v>
      </c>
      <c r="Y48" s="24">
        <f>Y44/(1993-568-459-409)</f>
        <v>0.414721723518851</v>
      </c>
      <c r="Z48" s="24">
        <f>Z44/(1993)</f>
        <v>0.305569493226292</v>
      </c>
      <c r="AA48" s="505"/>
      <c r="AB48" s="24">
        <f>AB44/481</f>
        <v>0.3388773388773389</v>
      </c>
      <c r="AC48" s="24">
        <f>AC44/(908-481)</f>
        <v>0.3981264637002342</v>
      </c>
      <c r="AD48" s="24">
        <f>AD44/(1407-908)</f>
        <v>0.3026052104208417</v>
      </c>
      <c r="AE48" s="24">
        <f>AE44/(1948-1407)</f>
        <v>0.2754158964879852</v>
      </c>
      <c r="AF48" s="24">
        <v>0.32</v>
      </c>
      <c r="AG48" s="505"/>
      <c r="AH48" s="24">
        <f>AH44/536</f>
        <v>0.40671641791044777</v>
      </c>
      <c r="AI48" s="151">
        <f>AI44/471</f>
        <v>0.2781316348195329</v>
      </c>
      <c r="AJ48" s="151">
        <f>AJ44/(1522-471-536)</f>
        <v>0.3359223300970874</v>
      </c>
      <c r="AK48" s="151">
        <v>0.29</v>
      </c>
      <c r="AL48" s="151">
        <v>0.33</v>
      </c>
      <c r="AM48" s="151">
        <v>0.29</v>
      </c>
      <c r="AN48" s="151">
        <v>0.41</v>
      </c>
      <c r="AO48" s="151">
        <v>0.5616</v>
      </c>
      <c r="AP48" s="264">
        <v>0.61</v>
      </c>
      <c r="AQ48" s="264">
        <v>0.52</v>
      </c>
      <c r="AR48" s="280">
        <v>0.6825902335456475</v>
      </c>
      <c r="AS48" s="280">
        <v>0.69</v>
      </c>
      <c r="AT48" s="280">
        <v>0.67</v>
      </c>
      <c r="AU48" s="280">
        <v>0.7110091743119266</v>
      </c>
      <c r="AV48" s="280">
        <v>0.69</v>
      </c>
      <c r="AW48" s="280">
        <v>0.69</v>
      </c>
      <c r="AX48" s="280">
        <v>0.4475806451612903</v>
      </c>
      <c r="AY48" s="280">
        <v>0.45</v>
      </c>
      <c r="AZ48" s="280">
        <v>0.45</v>
      </c>
      <c r="BA48" s="280">
        <v>0.55</v>
      </c>
      <c r="BB48" s="280">
        <v>0.59</v>
      </c>
      <c r="BC48" s="280">
        <v>0.5</v>
      </c>
      <c r="BD48" s="524">
        <v>0.46</v>
      </c>
      <c r="BE48" s="525"/>
    </row>
    <row r="49" spans="1:57" ht="35.25" customHeight="1">
      <c r="A49" s="501"/>
      <c r="B49" s="117" t="s">
        <v>380</v>
      </c>
      <c r="C49" s="502"/>
      <c r="D49" s="526"/>
      <c r="E49" s="526"/>
      <c r="F49" s="526"/>
      <c r="G49" s="526"/>
      <c r="H49" s="526"/>
      <c r="I49" s="564"/>
      <c r="J49" s="526"/>
      <c r="K49" s="526"/>
      <c r="L49" s="26"/>
      <c r="M49" s="26"/>
      <c r="N49" s="26"/>
      <c r="O49" s="564"/>
      <c r="P49" s="26"/>
      <c r="Q49" s="26"/>
      <c r="R49" s="26"/>
      <c r="S49" s="26"/>
      <c r="T49" s="26"/>
      <c r="U49" s="564"/>
      <c r="V49" s="26"/>
      <c r="W49" s="26"/>
      <c r="X49" s="26"/>
      <c r="Y49" s="26"/>
      <c r="Z49" s="26"/>
      <c r="AA49" s="564"/>
      <c r="AB49" s="26"/>
      <c r="AC49" s="26"/>
      <c r="AD49" s="26"/>
      <c r="AE49" s="26"/>
      <c r="AF49" s="26"/>
      <c r="AG49" s="564"/>
      <c r="AH49" s="26"/>
      <c r="AI49" s="565"/>
      <c r="AJ49" s="565"/>
      <c r="AK49" s="565"/>
      <c r="AL49" s="565"/>
      <c r="AM49" s="566"/>
      <c r="AN49" s="566"/>
      <c r="AO49" s="566"/>
      <c r="AP49" s="567"/>
      <c r="AQ49" s="567"/>
      <c r="AR49" s="568"/>
      <c r="AS49" s="568"/>
      <c r="AT49" s="568"/>
      <c r="AU49" s="568"/>
      <c r="AV49" s="568"/>
      <c r="AW49" s="568"/>
      <c r="AX49" s="568"/>
      <c r="AY49" s="568"/>
      <c r="AZ49" s="568"/>
      <c r="BA49" s="568"/>
      <c r="BB49" s="568"/>
      <c r="BC49" s="568"/>
      <c r="BD49" s="525"/>
      <c r="BE49" s="525"/>
    </row>
    <row r="50" spans="1:56" ht="30.75" customHeight="1">
      <c r="A50" s="501"/>
      <c r="B50" s="502" t="s">
        <v>100</v>
      </c>
      <c r="C50" s="502"/>
      <c r="D50" s="526"/>
      <c r="E50" s="526"/>
      <c r="F50" s="526"/>
      <c r="G50" s="526"/>
      <c r="H50" s="526"/>
      <c r="J50" s="526"/>
      <c r="K50" s="526"/>
      <c r="L50" s="26"/>
      <c r="M50" s="26"/>
      <c r="N50" s="26"/>
      <c r="P50" s="26"/>
      <c r="Q50" s="26"/>
      <c r="R50" s="26"/>
      <c r="S50" s="26"/>
      <c r="T50" s="526"/>
      <c r="V50" s="526"/>
      <c r="W50" s="526"/>
      <c r="X50" s="526"/>
      <c r="Y50" s="526"/>
      <c r="Z50" s="526"/>
      <c r="AB50" s="526"/>
      <c r="AC50" s="526"/>
      <c r="AD50" s="526"/>
      <c r="AE50" s="526"/>
      <c r="AF50" s="526"/>
      <c r="AH50" s="526"/>
      <c r="AI50" s="527"/>
      <c r="AJ50" s="360"/>
      <c r="AK50" s="360"/>
      <c r="AL50" s="360"/>
      <c r="AM50" s="526"/>
      <c r="AN50" s="527"/>
      <c r="AO50" s="360"/>
      <c r="AP50" s="360"/>
      <c r="AQ50" s="526"/>
      <c r="AR50" s="527"/>
      <c r="AS50" s="360"/>
      <c r="AT50" s="360"/>
      <c r="AU50" s="526"/>
      <c r="AV50" s="527"/>
      <c r="AW50" s="360"/>
      <c r="AX50" s="360"/>
      <c r="AY50" s="526"/>
      <c r="AZ50" s="527"/>
      <c r="BA50" s="360"/>
      <c r="BB50" s="360"/>
      <c r="BC50" s="526"/>
      <c r="BD50" s="527"/>
    </row>
    <row r="51" spans="2:56" s="500" customFormat="1" ht="12" customHeight="1">
      <c r="B51" s="583" t="s">
        <v>101</v>
      </c>
      <c r="C51" s="518"/>
      <c r="D51" s="529">
        <v>1.9</v>
      </c>
      <c r="E51" s="530">
        <v>1.85</v>
      </c>
      <c r="F51" s="530">
        <v>1.96</v>
      </c>
      <c r="G51" s="530">
        <v>1.87</v>
      </c>
      <c r="H51" s="530">
        <v>1.89</v>
      </c>
      <c r="I51" s="531"/>
      <c r="J51" s="530">
        <v>1.6</v>
      </c>
      <c r="K51" s="530">
        <v>1.57</v>
      </c>
      <c r="L51" s="530">
        <v>1.64</v>
      </c>
      <c r="M51" s="530">
        <v>1.49</v>
      </c>
      <c r="N51" s="530">
        <v>1.59</v>
      </c>
      <c r="O51" s="531"/>
      <c r="P51" s="532">
        <v>1.39</v>
      </c>
      <c r="Q51" s="532">
        <v>1.4</v>
      </c>
      <c r="R51" s="532">
        <v>1.36</v>
      </c>
      <c r="S51" s="532">
        <v>1.49</v>
      </c>
      <c r="T51" s="530">
        <v>1.41</v>
      </c>
      <c r="U51" s="531"/>
      <c r="V51" s="530">
        <v>1.53</v>
      </c>
      <c r="W51" s="530">
        <v>1.41</v>
      </c>
      <c r="X51" s="530">
        <v>1.65</v>
      </c>
      <c r="Y51" s="530">
        <v>1.79</v>
      </c>
      <c r="Z51" s="530">
        <v>1.59</v>
      </c>
      <c r="AA51" s="531"/>
      <c r="AB51" s="530" t="s">
        <v>31</v>
      </c>
      <c r="AC51" s="530">
        <v>1.85</v>
      </c>
      <c r="AD51" s="530">
        <v>1.78</v>
      </c>
      <c r="AE51" s="530">
        <v>1.81</v>
      </c>
      <c r="AF51" s="530">
        <v>1.81</v>
      </c>
      <c r="AG51" s="531"/>
      <c r="AH51" s="530">
        <v>1.74</v>
      </c>
      <c r="AI51" s="530">
        <v>1.79</v>
      </c>
      <c r="AJ51" s="154">
        <v>1.52</v>
      </c>
      <c r="AK51" s="154">
        <v>1.75</v>
      </c>
      <c r="AL51" s="154">
        <v>1.7</v>
      </c>
      <c r="AM51" s="154">
        <v>1.61</v>
      </c>
      <c r="AN51" s="154">
        <v>1.58</v>
      </c>
      <c r="AO51" s="154">
        <v>1.56</v>
      </c>
      <c r="AP51" s="533">
        <v>1.61</v>
      </c>
      <c r="AQ51" s="533">
        <v>1.59</v>
      </c>
      <c r="AR51" s="154">
        <v>1.82</v>
      </c>
      <c r="AS51" s="154">
        <v>1.96</v>
      </c>
      <c r="AT51" s="154">
        <v>2.03</v>
      </c>
      <c r="AU51" s="154">
        <v>2</v>
      </c>
      <c r="AV51" s="154">
        <v>1.96</v>
      </c>
      <c r="AW51" s="154">
        <v>2.19</v>
      </c>
      <c r="AX51" s="154">
        <v>2.18</v>
      </c>
      <c r="AY51" s="154">
        <v>2.23</v>
      </c>
      <c r="AZ51" s="154">
        <v>2.21</v>
      </c>
      <c r="BA51" s="154">
        <v>2.2</v>
      </c>
      <c r="BB51" s="154">
        <v>3</v>
      </c>
      <c r="BC51" s="154">
        <v>2.9</v>
      </c>
      <c r="BD51" s="436">
        <v>2.93</v>
      </c>
    </row>
    <row r="52" spans="1:56" ht="11.25">
      <c r="A52" s="501"/>
      <c r="B52" s="572" t="s">
        <v>12</v>
      </c>
      <c r="C52" s="502"/>
      <c r="D52" s="534">
        <v>1.77</v>
      </c>
      <c r="E52" s="535">
        <v>1.82</v>
      </c>
      <c r="F52" s="535">
        <v>1.88</v>
      </c>
      <c r="G52" s="535">
        <v>1.82</v>
      </c>
      <c r="H52" s="535">
        <v>1.82</v>
      </c>
      <c r="I52" s="505"/>
      <c r="J52" s="535">
        <v>1.46</v>
      </c>
      <c r="K52" s="535">
        <v>1.52</v>
      </c>
      <c r="L52" s="535">
        <v>1.49</v>
      </c>
      <c r="M52" s="535">
        <v>1.4</v>
      </c>
      <c r="N52" s="535">
        <v>1.47</v>
      </c>
      <c r="O52" s="505"/>
      <c r="P52" s="536">
        <v>1.33</v>
      </c>
      <c r="Q52" s="536">
        <v>1.32</v>
      </c>
      <c r="R52" s="536">
        <v>1.18</v>
      </c>
      <c r="S52" s="536">
        <v>1.34</v>
      </c>
      <c r="T52" s="535">
        <v>1.3</v>
      </c>
      <c r="U52" s="505"/>
      <c r="V52" s="535">
        <v>1.33</v>
      </c>
      <c r="W52" s="535">
        <v>1.34</v>
      </c>
      <c r="X52" s="535">
        <v>1.62</v>
      </c>
      <c r="Y52" s="535">
        <v>1.84</v>
      </c>
      <c r="Z52" s="535">
        <v>1.52</v>
      </c>
      <c r="AA52" s="505"/>
      <c r="AB52" s="535" t="s">
        <v>30</v>
      </c>
      <c r="AC52" s="535">
        <v>1.96</v>
      </c>
      <c r="AD52" s="535">
        <v>1.82</v>
      </c>
      <c r="AE52" s="535">
        <v>1.82</v>
      </c>
      <c r="AF52" s="535">
        <v>1.85</v>
      </c>
      <c r="AG52" s="505"/>
      <c r="AH52" s="535">
        <v>1.76</v>
      </c>
      <c r="AI52" s="535">
        <v>1.85</v>
      </c>
      <c r="AJ52" s="162">
        <v>1.53</v>
      </c>
      <c r="AK52" s="162">
        <v>1.83</v>
      </c>
      <c r="AL52" s="162">
        <v>1.74</v>
      </c>
      <c r="AM52" s="162">
        <v>1.58</v>
      </c>
      <c r="AN52" s="162">
        <v>1.59</v>
      </c>
      <c r="AO52" s="162">
        <v>1.61</v>
      </c>
      <c r="AP52" s="482">
        <v>1.68</v>
      </c>
      <c r="AQ52" s="482">
        <v>1.62</v>
      </c>
      <c r="AR52" s="162">
        <v>1.93</v>
      </c>
      <c r="AS52" s="162">
        <v>2.3</v>
      </c>
      <c r="AT52" s="162">
        <v>2.48</v>
      </c>
      <c r="AU52" s="162">
        <v>2.32</v>
      </c>
      <c r="AV52" s="162">
        <v>2.26</v>
      </c>
      <c r="AW52" s="162">
        <v>2.4</v>
      </c>
      <c r="AX52" s="162">
        <v>2.42</v>
      </c>
      <c r="AY52" s="162">
        <v>2.38</v>
      </c>
      <c r="AZ52" s="162">
        <v>2.34</v>
      </c>
      <c r="BA52" s="162">
        <v>2.38</v>
      </c>
      <c r="BB52" s="162">
        <v>3.08</v>
      </c>
      <c r="BC52" s="162">
        <v>2.98</v>
      </c>
      <c r="BD52" s="435">
        <v>2.97</v>
      </c>
    </row>
    <row r="53" spans="1:56" ht="11.25">
      <c r="A53" s="501"/>
      <c r="B53" s="572" t="s">
        <v>13</v>
      </c>
      <c r="C53" s="502"/>
      <c r="D53" s="534">
        <v>2.74</v>
      </c>
      <c r="E53" s="535">
        <v>2.03</v>
      </c>
      <c r="F53" s="535">
        <v>2.25</v>
      </c>
      <c r="G53" s="535">
        <v>2.11</v>
      </c>
      <c r="H53" s="535">
        <v>2.26</v>
      </c>
      <c r="I53" s="505"/>
      <c r="J53" s="535">
        <v>2.21</v>
      </c>
      <c r="K53" s="535">
        <v>1.83</v>
      </c>
      <c r="L53" s="535">
        <v>1.74</v>
      </c>
      <c r="M53" s="535">
        <v>1.72</v>
      </c>
      <c r="N53" s="535">
        <v>1.87</v>
      </c>
      <c r="O53" s="505"/>
      <c r="P53" s="536">
        <v>1.48</v>
      </c>
      <c r="Q53" s="536">
        <v>1.59</v>
      </c>
      <c r="R53" s="536">
        <v>1.73</v>
      </c>
      <c r="S53" s="536">
        <v>1.72</v>
      </c>
      <c r="T53" s="535">
        <v>1.63</v>
      </c>
      <c r="U53" s="505"/>
      <c r="V53" s="535">
        <v>2.35</v>
      </c>
      <c r="W53" s="535">
        <v>1.72</v>
      </c>
      <c r="X53" s="535">
        <v>1.9</v>
      </c>
      <c r="Y53" s="535">
        <v>1.81</v>
      </c>
      <c r="Z53" s="535">
        <v>1.92</v>
      </c>
      <c r="AA53" s="505"/>
      <c r="AB53" s="535">
        <v>1.89</v>
      </c>
      <c r="AC53" s="535">
        <v>1.84</v>
      </c>
      <c r="AD53" s="535">
        <v>1.89</v>
      </c>
      <c r="AE53" s="535">
        <v>2.04</v>
      </c>
      <c r="AF53" s="535">
        <v>1.92</v>
      </c>
      <c r="AG53" s="505"/>
      <c r="AH53" s="535">
        <v>1.95</v>
      </c>
      <c r="AI53" s="535">
        <v>1.69</v>
      </c>
      <c r="AJ53" s="162">
        <v>1.74</v>
      </c>
      <c r="AK53" s="162">
        <v>1.6</v>
      </c>
      <c r="AL53" s="162">
        <v>1.72</v>
      </c>
      <c r="AM53" s="162">
        <v>2.19</v>
      </c>
      <c r="AN53" s="162">
        <v>1.83</v>
      </c>
      <c r="AO53" s="162">
        <v>1.62</v>
      </c>
      <c r="AP53" s="482">
        <v>2</v>
      </c>
      <c r="AQ53" s="482">
        <v>1.91</v>
      </c>
      <c r="AR53" s="162">
        <v>2.32</v>
      </c>
      <c r="AS53" s="162">
        <v>1.83</v>
      </c>
      <c r="AT53" s="162">
        <v>1.67</v>
      </c>
      <c r="AU53" s="162">
        <v>2.27</v>
      </c>
      <c r="AV53" s="162">
        <v>2.01</v>
      </c>
      <c r="AW53" s="162">
        <v>2.23</v>
      </c>
      <c r="AX53" s="162">
        <v>1.77</v>
      </c>
      <c r="AY53" s="162">
        <v>2.07</v>
      </c>
      <c r="AZ53" s="162">
        <v>2.47</v>
      </c>
      <c r="BA53" s="162">
        <v>2.14</v>
      </c>
      <c r="BB53" s="162">
        <v>5</v>
      </c>
      <c r="BC53" s="162">
        <v>5.66</v>
      </c>
      <c r="BD53" s="435">
        <v>5.4</v>
      </c>
    </row>
    <row r="54" spans="1:56" ht="11.25">
      <c r="A54" s="501"/>
      <c r="B54" s="572" t="s">
        <v>14</v>
      </c>
      <c r="C54" s="502"/>
      <c r="D54" s="534" t="s">
        <v>15</v>
      </c>
      <c r="E54" s="535" t="s">
        <v>15</v>
      </c>
      <c r="F54" s="535" t="s">
        <v>15</v>
      </c>
      <c r="G54" s="535" t="s">
        <v>15</v>
      </c>
      <c r="H54" s="535" t="s">
        <v>15</v>
      </c>
      <c r="I54" s="505"/>
      <c r="J54" s="535" t="s">
        <v>15</v>
      </c>
      <c r="K54" s="535" t="s">
        <v>15</v>
      </c>
      <c r="L54" s="535">
        <v>2.6</v>
      </c>
      <c r="M54" s="535">
        <v>2.56</v>
      </c>
      <c r="N54" s="535">
        <v>2.58</v>
      </c>
      <c r="O54" s="505"/>
      <c r="P54" s="536">
        <v>1.73</v>
      </c>
      <c r="Q54" s="536">
        <v>1.77</v>
      </c>
      <c r="R54" s="536">
        <v>2.19</v>
      </c>
      <c r="S54" s="536">
        <v>2.11</v>
      </c>
      <c r="T54" s="535">
        <v>1.96</v>
      </c>
      <c r="U54" s="505"/>
      <c r="V54" s="535">
        <v>1.94</v>
      </c>
      <c r="W54" s="535">
        <v>1.53</v>
      </c>
      <c r="X54" s="535">
        <v>1.56</v>
      </c>
      <c r="Y54" s="535">
        <v>1.44</v>
      </c>
      <c r="Z54" s="535">
        <v>1.67</v>
      </c>
      <c r="AA54" s="505"/>
      <c r="AB54" s="535">
        <v>1.43</v>
      </c>
      <c r="AC54" s="535">
        <v>0.83</v>
      </c>
      <c r="AD54" s="535">
        <v>1.29</v>
      </c>
      <c r="AE54" s="535">
        <v>1.56</v>
      </c>
      <c r="AF54" s="535">
        <v>1.31</v>
      </c>
      <c r="AG54" s="505"/>
      <c r="AH54" s="535">
        <v>1.34</v>
      </c>
      <c r="AI54" s="535">
        <v>1.58</v>
      </c>
      <c r="AJ54" s="162">
        <v>1.25</v>
      </c>
      <c r="AK54" s="162">
        <v>1.47</v>
      </c>
      <c r="AL54" s="162">
        <v>1.41</v>
      </c>
      <c r="AM54" s="162">
        <v>1.15</v>
      </c>
      <c r="AN54" s="162">
        <v>1.34</v>
      </c>
      <c r="AO54" s="162">
        <v>1.21</v>
      </c>
      <c r="AP54" s="482">
        <v>1.08</v>
      </c>
      <c r="AQ54" s="482">
        <v>1.19</v>
      </c>
      <c r="AR54" s="162">
        <v>0.93</v>
      </c>
      <c r="AS54" s="162">
        <v>0.81</v>
      </c>
      <c r="AT54" s="162">
        <v>0.71</v>
      </c>
      <c r="AU54" s="162">
        <v>0.69</v>
      </c>
      <c r="AV54" s="162">
        <v>0.78</v>
      </c>
      <c r="AW54" s="162">
        <v>1.35</v>
      </c>
      <c r="AX54" s="162">
        <v>1.41</v>
      </c>
      <c r="AY54" s="162">
        <v>1.68</v>
      </c>
      <c r="AZ54" s="162">
        <v>1.55</v>
      </c>
      <c r="BA54" s="162">
        <v>1.5</v>
      </c>
      <c r="BB54" s="162">
        <v>1.48</v>
      </c>
      <c r="BC54" s="162">
        <v>1.5</v>
      </c>
      <c r="BD54" s="435">
        <v>1.69</v>
      </c>
    </row>
    <row r="55" spans="1:48" ht="11.25">
      <c r="A55" s="501"/>
      <c r="B55" s="502"/>
      <c r="C55" s="502"/>
      <c r="D55" s="537"/>
      <c r="E55" s="537"/>
      <c r="F55" s="537"/>
      <c r="G55" s="537"/>
      <c r="H55" s="537"/>
      <c r="J55" s="537"/>
      <c r="K55" s="537"/>
      <c r="L55" s="537"/>
      <c r="M55" s="537"/>
      <c r="N55" s="537"/>
      <c r="P55" s="538"/>
      <c r="Q55" s="538"/>
      <c r="R55" s="538"/>
      <c r="S55" s="538"/>
      <c r="T55" s="537"/>
      <c r="V55" s="537"/>
      <c r="W55" s="537"/>
      <c r="X55" s="537"/>
      <c r="Y55" s="537"/>
      <c r="Z55" s="537"/>
      <c r="AB55" s="537"/>
      <c r="AC55" s="537"/>
      <c r="AD55" s="537"/>
      <c r="AE55" s="537"/>
      <c r="AF55" s="537"/>
      <c r="AH55" s="537"/>
      <c r="AI55" s="537"/>
      <c r="AJ55" s="539"/>
      <c r="AK55" s="539"/>
      <c r="AL55" s="539"/>
      <c r="AO55" s="177"/>
      <c r="AS55" s="376"/>
      <c r="AT55" s="376"/>
      <c r="AU55" s="376"/>
      <c r="AV55" s="376"/>
    </row>
    <row r="56" spans="2:48" ht="12" customHeight="1">
      <c r="B56" s="518"/>
      <c r="C56" s="518"/>
      <c r="D56" s="537"/>
      <c r="E56" s="537"/>
      <c r="F56" s="537"/>
      <c r="G56" s="537"/>
      <c r="H56" s="537"/>
      <c r="I56" s="540"/>
      <c r="J56" s="537"/>
      <c r="K56" s="537"/>
      <c r="L56" s="537"/>
      <c r="M56" s="537"/>
      <c r="N56" s="537"/>
      <c r="O56" s="540"/>
      <c r="P56" s="541"/>
      <c r="Q56" s="541"/>
      <c r="R56" s="541"/>
      <c r="S56" s="541"/>
      <c r="T56" s="537"/>
      <c r="U56" s="540"/>
      <c r="V56" s="537"/>
      <c r="W56" s="537"/>
      <c r="X56" s="537"/>
      <c r="Y56" s="537"/>
      <c r="Z56" s="537"/>
      <c r="AA56" s="540"/>
      <c r="AB56" s="537"/>
      <c r="AC56" s="537"/>
      <c r="AD56" s="537"/>
      <c r="AE56" s="537"/>
      <c r="AF56" s="537"/>
      <c r="AG56" s="540"/>
      <c r="AH56" s="537"/>
      <c r="AI56" s="537"/>
      <c r="AJ56" s="539"/>
      <c r="AK56" s="539"/>
      <c r="AL56" s="539"/>
      <c r="AO56" s="177"/>
      <c r="AS56" s="376"/>
      <c r="AT56" s="376"/>
      <c r="AU56" s="376"/>
      <c r="AV56" s="376"/>
    </row>
    <row r="57" spans="2:55" s="471" customFormat="1" ht="12" customHeight="1">
      <c r="B57" s="584" t="s">
        <v>102</v>
      </c>
      <c r="C57" s="465"/>
      <c r="D57" s="542"/>
      <c r="E57" s="542"/>
      <c r="F57" s="542"/>
      <c r="G57" s="542"/>
      <c r="H57" s="491"/>
      <c r="I57" s="543"/>
      <c r="J57" s="542"/>
      <c r="K57" s="542"/>
      <c r="L57" s="542"/>
      <c r="M57" s="542"/>
      <c r="N57" s="491"/>
      <c r="O57" s="543"/>
      <c r="P57" s="542"/>
      <c r="Q57" s="542"/>
      <c r="R57" s="542"/>
      <c r="S57" s="542"/>
      <c r="T57" s="542"/>
      <c r="U57" s="543"/>
      <c r="V57" s="542"/>
      <c r="W57" s="542"/>
      <c r="X57" s="542"/>
      <c r="Y57" s="542"/>
      <c r="Z57" s="542"/>
      <c r="AA57" s="543"/>
      <c r="AB57" s="542"/>
      <c r="AC57" s="542"/>
      <c r="AD57" s="542"/>
      <c r="AE57" s="542"/>
      <c r="AF57" s="542"/>
      <c r="AG57" s="543"/>
      <c r="AH57" s="542"/>
      <c r="AI57" s="542"/>
      <c r="AJ57" s="159"/>
      <c r="AK57" s="159"/>
      <c r="AL57" s="159"/>
      <c r="AM57" s="177"/>
      <c r="AN57" s="177"/>
      <c r="AO57" s="177"/>
      <c r="AS57" s="376"/>
      <c r="AT57" s="376"/>
      <c r="AU57" s="376"/>
      <c r="AV57" s="376"/>
      <c r="AW57" s="376"/>
      <c r="AX57" s="376"/>
      <c r="AY57" s="376"/>
      <c r="AZ57" s="376"/>
      <c r="BA57" s="376"/>
      <c r="BB57" s="376"/>
      <c r="BC57" s="376"/>
    </row>
    <row r="58" spans="2:56" s="471" customFormat="1" ht="12" customHeight="1">
      <c r="B58" s="585" t="s">
        <v>103</v>
      </c>
      <c r="C58" s="476"/>
      <c r="D58" s="134">
        <v>401</v>
      </c>
      <c r="E58" s="135">
        <v>392</v>
      </c>
      <c r="F58" s="135">
        <v>403</v>
      </c>
      <c r="G58" s="135">
        <v>439</v>
      </c>
      <c r="H58" s="135">
        <v>1635</v>
      </c>
      <c r="I58" s="508"/>
      <c r="J58" s="135">
        <v>564</v>
      </c>
      <c r="K58" s="135">
        <v>516</v>
      </c>
      <c r="L58" s="135">
        <v>486</v>
      </c>
      <c r="M58" s="135">
        <v>449</v>
      </c>
      <c r="N58" s="135">
        <v>2015</v>
      </c>
      <c r="O58" s="508"/>
      <c r="P58" s="135">
        <v>404</v>
      </c>
      <c r="Q58" s="135">
        <v>425</v>
      </c>
      <c r="R58" s="135">
        <v>435</v>
      </c>
      <c r="S58" s="135">
        <v>454</v>
      </c>
      <c r="T58" s="135">
        <v>1718</v>
      </c>
      <c r="U58" s="508"/>
      <c r="V58" s="135">
        <v>405</v>
      </c>
      <c r="W58" s="135">
        <v>428</v>
      </c>
      <c r="X58" s="135">
        <v>404</v>
      </c>
      <c r="Y58" s="135">
        <v>447</v>
      </c>
      <c r="Z58" s="135">
        <f aca="true" t="shared" si="17" ref="Z58:Z70">V58+W58+X58+Y58</f>
        <v>1684</v>
      </c>
      <c r="AA58" s="508"/>
      <c r="AB58" s="135">
        <v>417</v>
      </c>
      <c r="AC58" s="135">
        <v>576</v>
      </c>
      <c r="AD58" s="135">
        <v>432</v>
      </c>
      <c r="AE58" s="135">
        <v>478</v>
      </c>
      <c r="AF58" s="135">
        <v>1903</v>
      </c>
      <c r="AG58" s="508"/>
      <c r="AH58" s="135">
        <v>496</v>
      </c>
      <c r="AI58" s="135">
        <v>465</v>
      </c>
      <c r="AJ58" s="397">
        <v>481</v>
      </c>
      <c r="AK58" s="397">
        <v>571</v>
      </c>
      <c r="AL58" s="397">
        <v>2013</v>
      </c>
      <c r="AM58" s="397">
        <v>499</v>
      </c>
      <c r="AN58" s="397">
        <v>489</v>
      </c>
      <c r="AO58" s="397">
        <v>456</v>
      </c>
      <c r="AP58" s="506">
        <v>618</v>
      </c>
      <c r="AQ58" s="506">
        <v>2062</v>
      </c>
      <c r="AR58" s="506">
        <v>623</v>
      </c>
      <c r="AS58" s="397">
        <v>573</v>
      </c>
      <c r="AT58" s="397">
        <v>532</v>
      </c>
      <c r="AU58" s="397">
        <v>526</v>
      </c>
      <c r="AV58" s="397">
        <v>2254</v>
      </c>
      <c r="AW58" s="397">
        <v>578</v>
      </c>
      <c r="AX58" s="397">
        <v>581</v>
      </c>
      <c r="AY58" s="397">
        <v>576</v>
      </c>
      <c r="AZ58" s="397">
        <f aca="true" t="shared" si="18" ref="AZ58:AZ70">BA58-AY58-AX58-AW58</f>
        <v>663</v>
      </c>
      <c r="BA58" s="397">
        <v>2398</v>
      </c>
      <c r="BB58" s="397">
        <v>585</v>
      </c>
      <c r="BC58" s="397">
        <v>639</v>
      </c>
      <c r="BD58" s="434">
        <v>661</v>
      </c>
    </row>
    <row r="59" spans="2:56" s="471" customFormat="1" ht="12" customHeight="1">
      <c r="B59" s="585" t="s">
        <v>104</v>
      </c>
      <c r="C59" s="476"/>
      <c r="D59" s="134">
        <v>1160</v>
      </c>
      <c r="E59" s="135">
        <v>1137</v>
      </c>
      <c r="F59" s="135">
        <v>1166</v>
      </c>
      <c r="G59" s="135">
        <v>1241</v>
      </c>
      <c r="H59" s="135">
        <v>4704</v>
      </c>
      <c r="I59" s="508"/>
      <c r="J59" s="135">
        <v>1179</v>
      </c>
      <c r="K59" s="135">
        <v>1118</v>
      </c>
      <c r="L59" s="135">
        <v>1172</v>
      </c>
      <c r="M59" s="135">
        <v>1237</v>
      </c>
      <c r="N59" s="135">
        <v>4706</v>
      </c>
      <c r="O59" s="508"/>
      <c r="P59" s="135">
        <v>1128</v>
      </c>
      <c r="Q59" s="135">
        <v>1178</v>
      </c>
      <c r="R59" s="135">
        <v>1152</v>
      </c>
      <c r="S59" s="135">
        <v>1214</v>
      </c>
      <c r="T59" s="135">
        <v>4672</v>
      </c>
      <c r="U59" s="508"/>
      <c r="V59" s="135">
        <v>1173</v>
      </c>
      <c r="W59" s="135">
        <v>1235</v>
      </c>
      <c r="X59" s="135">
        <v>1210</v>
      </c>
      <c r="Y59" s="135">
        <v>1338</v>
      </c>
      <c r="Z59" s="135">
        <f t="shared" si="17"/>
        <v>4956</v>
      </c>
      <c r="AA59" s="508"/>
      <c r="AB59" s="135">
        <v>1223</v>
      </c>
      <c r="AC59" s="135">
        <v>1357</v>
      </c>
      <c r="AD59" s="135">
        <v>1290</v>
      </c>
      <c r="AE59" s="135">
        <v>1332</v>
      </c>
      <c r="AF59" s="135">
        <v>5202</v>
      </c>
      <c r="AG59" s="508"/>
      <c r="AH59" s="135">
        <v>1344</v>
      </c>
      <c r="AI59" s="135">
        <v>1363</v>
      </c>
      <c r="AJ59" s="397">
        <v>1443</v>
      </c>
      <c r="AK59" s="397">
        <v>1444</v>
      </c>
      <c r="AL59" s="397">
        <v>5594</v>
      </c>
      <c r="AM59" s="397">
        <v>1368</v>
      </c>
      <c r="AN59" s="397">
        <v>1430</v>
      </c>
      <c r="AO59" s="397">
        <v>1466</v>
      </c>
      <c r="AP59" s="506">
        <v>1620</v>
      </c>
      <c r="AQ59" s="506">
        <v>5884</v>
      </c>
      <c r="AR59" s="506">
        <v>1486</v>
      </c>
      <c r="AS59" s="397">
        <v>1641</v>
      </c>
      <c r="AT59" s="397">
        <v>1624</v>
      </c>
      <c r="AU59" s="397">
        <v>1692</v>
      </c>
      <c r="AV59" s="397">
        <v>6443</v>
      </c>
      <c r="AW59" s="397">
        <v>1578</v>
      </c>
      <c r="AX59" s="397">
        <v>1945</v>
      </c>
      <c r="AY59" s="397">
        <v>1801</v>
      </c>
      <c r="AZ59" s="397">
        <f t="shared" si="18"/>
        <v>2009</v>
      </c>
      <c r="BA59" s="397">
        <v>7333</v>
      </c>
      <c r="BB59" s="397">
        <v>1925</v>
      </c>
      <c r="BC59" s="397">
        <v>2143</v>
      </c>
      <c r="BD59" s="434">
        <v>2058</v>
      </c>
    </row>
    <row r="60" spans="2:56" s="471" customFormat="1" ht="12" customHeight="1">
      <c r="B60" s="585" t="s">
        <v>105</v>
      </c>
      <c r="C60" s="476"/>
      <c r="D60" s="134">
        <v>1950</v>
      </c>
      <c r="E60" s="135">
        <v>1794</v>
      </c>
      <c r="F60" s="135">
        <v>1995</v>
      </c>
      <c r="G60" s="135">
        <v>1868</v>
      </c>
      <c r="H60" s="135">
        <v>7607</v>
      </c>
      <c r="I60" s="508"/>
      <c r="J60" s="135">
        <v>1755</v>
      </c>
      <c r="K60" s="135">
        <v>1949</v>
      </c>
      <c r="L60" s="135">
        <v>1673</v>
      </c>
      <c r="M60" s="135">
        <v>1887</v>
      </c>
      <c r="N60" s="135">
        <v>7264</v>
      </c>
      <c r="O60" s="508"/>
      <c r="P60" s="135">
        <v>1780</v>
      </c>
      <c r="Q60" s="135">
        <v>1819</v>
      </c>
      <c r="R60" s="135">
        <v>1550</v>
      </c>
      <c r="S60" s="135">
        <v>1886</v>
      </c>
      <c r="T60" s="135">
        <v>7035</v>
      </c>
      <c r="U60" s="508"/>
      <c r="V60" s="135">
        <v>1770</v>
      </c>
      <c r="W60" s="135">
        <v>1844</v>
      </c>
      <c r="X60" s="135">
        <v>1972</v>
      </c>
      <c r="Y60" s="135">
        <v>1874</v>
      </c>
      <c r="Z60" s="135">
        <f t="shared" si="17"/>
        <v>7460</v>
      </c>
      <c r="AA60" s="508"/>
      <c r="AB60" s="135">
        <v>1821</v>
      </c>
      <c r="AC60" s="135">
        <v>1558</v>
      </c>
      <c r="AD60" s="135">
        <v>1711</v>
      </c>
      <c r="AE60" s="135">
        <v>2007</v>
      </c>
      <c r="AF60" s="135">
        <v>7097</v>
      </c>
      <c r="AG60" s="508"/>
      <c r="AH60" s="135">
        <v>2041</v>
      </c>
      <c r="AI60" s="135">
        <v>1984</v>
      </c>
      <c r="AJ60" s="397">
        <v>1936</v>
      </c>
      <c r="AK60" s="397">
        <v>1984</v>
      </c>
      <c r="AL60" s="397">
        <v>7945</v>
      </c>
      <c r="AM60" s="397">
        <v>1945</v>
      </c>
      <c r="AN60" s="397">
        <v>1753</v>
      </c>
      <c r="AO60" s="397">
        <v>2084</v>
      </c>
      <c r="AP60" s="506">
        <v>2132</v>
      </c>
      <c r="AQ60" s="506">
        <v>7914</v>
      </c>
      <c r="AR60" s="506">
        <v>2740</v>
      </c>
      <c r="AS60" s="397">
        <v>3092</v>
      </c>
      <c r="AT60" s="397">
        <v>3020</v>
      </c>
      <c r="AU60" s="397">
        <v>3110</v>
      </c>
      <c r="AV60" s="397">
        <v>11962</v>
      </c>
      <c r="AW60" s="397">
        <v>3886</v>
      </c>
      <c r="AX60" s="397">
        <v>4172</v>
      </c>
      <c r="AY60" s="397">
        <v>3773</v>
      </c>
      <c r="AZ60" s="397">
        <f t="shared" si="18"/>
        <v>4045</v>
      </c>
      <c r="BA60" s="397">
        <v>15876</v>
      </c>
      <c r="BB60" s="397">
        <v>4239</v>
      </c>
      <c r="BC60" s="397">
        <v>3714</v>
      </c>
      <c r="BD60" s="434">
        <v>3343</v>
      </c>
    </row>
    <row r="61" spans="2:56" s="471" customFormat="1" ht="12" customHeight="1">
      <c r="B61" s="585" t="s">
        <v>106</v>
      </c>
      <c r="C61" s="476"/>
      <c r="D61" s="134">
        <v>451</v>
      </c>
      <c r="E61" s="135">
        <v>433</v>
      </c>
      <c r="F61" s="135">
        <v>453</v>
      </c>
      <c r="G61" s="135">
        <v>476</v>
      </c>
      <c r="H61" s="135">
        <v>1813</v>
      </c>
      <c r="I61" s="508"/>
      <c r="J61" s="135">
        <v>418</v>
      </c>
      <c r="K61" s="135">
        <v>532</v>
      </c>
      <c r="L61" s="135">
        <v>545</v>
      </c>
      <c r="M61" s="135">
        <v>615</v>
      </c>
      <c r="N61" s="135">
        <v>2110</v>
      </c>
      <c r="O61" s="508"/>
      <c r="P61" s="135">
        <v>479</v>
      </c>
      <c r="Q61" s="135">
        <v>550</v>
      </c>
      <c r="R61" s="135">
        <v>524</v>
      </c>
      <c r="S61" s="135">
        <v>639</v>
      </c>
      <c r="T61" s="135">
        <v>2192</v>
      </c>
      <c r="U61" s="508"/>
      <c r="V61" s="135">
        <v>455</v>
      </c>
      <c r="W61" s="135">
        <v>594</v>
      </c>
      <c r="X61" s="135">
        <v>481</v>
      </c>
      <c r="Y61" s="135">
        <v>626</v>
      </c>
      <c r="Z61" s="135">
        <f t="shared" si="17"/>
        <v>2156</v>
      </c>
      <c r="AA61" s="508"/>
      <c r="AB61" s="135">
        <v>509</v>
      </c>
      <c r="AC61" s="135">
        <v>522</v>
      </c>
      <c r="AD61" s="135">
        <v>690</v>
      </c>
      <c r="AE61" s="135">
        <v>683</v>
      </c>
      <c r="AF61" s="135">
        <v>2404</v>
      </c>
      <c r="AG61" s="508"/>
      <c r="AH61" s="135">
        <v>478</v>
      </c>
      <c r="AI61" s="135">
        <v>646</v>
      </c>
      <c r="AJ61" s="397">
        <v>811</v>
      </c>
      <c r="AK61" s="397">
        <v>720</v>
      </c>
      <c r="AL61" s="397">
        <v>2655</v>
      </c>
      <c r="AM61" s="397">
        <v>507</v>
      </c>
      <c r="AN61" s="397">
        <v>505</v>
      </c>
      <c r="AO61" s="397">
        <v>549</v>
      </c>
      <c r="AP61" s="506">
        <v>665</v>
      </c>
      <c r="AQ61" s="506">
        <v>2226</v>
      </c>
      <c r="AR61" s="506">
        <v>469</v>
      </c>
      <c r="AS61" s="397">
        <v>516</v>
      </c>
      <c r="AT61" s="397">
        <v>494</v>
      </c>
      <c r="AU61" s="397">
        <v>721</v>
      </c>
      <c r="AV61" s="397">
        <v>2200</v>
      </c>
      <c r="AW61" s="397">
        <v>528</v>
      </c>
      <c r="AX61" s="397">
        <v>616</v>
      </c>
      <c r="AY61" s="397">
        <v>660</v>
      </c>
      <c r="AZ61" s="397">
        <f t="shared" si="18"/>
        <v>800</v>
      </c>
      <c r="BA61" s="397">
        <v>2604</v>
      </c>
      <c r="BB61" s="397">
        <v>694</v>
      </c>
      <c r="BC61" s="397">
        <v>713</v>
      </c>
      <c r="BD61" s="434">
        <v>741</v>
      </c>
    </row>
    <row r="62" spans="2:56" s="471" customFormat="1" ht="12" customHeight="1">
      <c r="B62" s="585" t="s">
        <v>107</v>
      </c>
      <c r="C62" s="476"/>
      <c r="D62" s="134">
        <v>395</v>
      </c>
      <c r="E62" s="135">
        <v>353</v>
      </c>
      <c r="F62" s="135">
        <v>383</v>
      </c>
      <c r="G62" s="135">
        <v>389</v>
      </c>
      <c r="H62" s="135">
        <v>1520</v>
      </c>
      <c r="I62" s="508"/>
      <c r="J62" s="135">
        <v>393</v>
      </c>
      <c r="K62" s="135">
        <v>417</v>
      </c>
      <c r="L62" s="135">
        <v>325</v>
      </c>
      <c r="M62" s="135">
        <v>304</v>
      </c>
      <c r="N62" s="135">
        <v>1439</v>
      </c>
      <c r="O62" s="508"/>
      <c r="P62" s="135">
        <v>293</v>
      </c>
      <c r="Q62" s="135">
        <v>313</v>
      </c>
      <c r="R62" s="135">
        <v>336</v>
      </c>
      <c r="S62" s="135">
        <v>396</v>
      </c>
      <c r="T62" s="135">
        <v>1338</v>
      </c>
      <c r="U62" s="508"/>
      <c r="V62" s="135">
        <v>466</v>
      </c>
      <c r="W62" s="135">
        <v>405</v>
      </c>
      <c r="X62" s="135">
        <v>438</v>
      </c>
      <c r="Y62" s="135">
        <v>456</v>
      </c>
      <c r="Z62" s="135">
        <f t="shared" si="17"/>
        <v>1765</v>
      </c>
      <c r="AA62" s="508"/>
      <c r="AB62" s="135">
        <v>434</v>
      </c>
      <c r="AC62" s="135">
        <v>466</v>
      </c>
      <c r="AD62" s="135">
        <v>397</v>
      </c>
      <c r="AE62" s="135">
        <v>374</v>
      </c>
      <c r="AF62" s="135">
        <v>1671</v>
      </c>
      <c r="AG62" s="508"/>
      <c r="AH62" s="135">
        <v>420</v>
      </c>
      <c r="AI62" s="135">
        <v>446</v>
      </c>
      <c r="AJ62" s="397">
        <v>326</v>
      </c>
      <c r="AK62" s="397">
        <v>328</v>
      </c>
      <c r="AL62" s="397">
        <v>1520</v>
      </c>
      <c r="AM62" s="397">
        <v>344</v>
      </c>
      <c r="AN62" s="397">
        <v>334</v>
      </c>
      <c r="AO62" s="397">
        <v>442</v>
      </c>
      <c r="AP62" s="506">
        <v>505</v>
      </c>
      <c r="AQ62" s="506">
        <v>1625</v>
      </c>
      <c r="AR62" s="506">
        <v>718</v>
      </c>
      <c r="AS62" s="397">
        <v>917</v>
      </c>
      <c r="AT62" s="397">
        <v>904</v>
      </c>
      <c r="AU62" s="397">
        <v>1009</v>
      </c>
      <c r="AV62" s="397">
        <v>3548</v>
      </c>
      <c r="AW62" s="397">
        <v>844</v>
      </c>
      <c r="AX62" s="397">
        <v>809</v>
      </c>
      <c r="AY62" s="397">
        <v>647</v>
      </c>
      <c r="AZ62" s="397">
        <f t="shared" si="18"/>
        <v>746</v>
      </c>
      <c r="BA62" s="397">
        <v>3046</v>
      </c>
      <c r="BB62" s="397">
        <v>1068</v>
      </c>
      <c r="BC62" s="397">
        <v>905</v>
      </c>
      <c r="BD62" s="434">
        <v>824</v>
      </c>
    </row>
    <row r="63" spans="2:56" s="471" customFormat="1" ht="12" customHeight="1">
      <c r="B63" s="585" t="s">
        <v>108</v>
      </c>
      <c r="C63" s="476"/>
      <c r="D63" s="134">
        <v>134</v>
      </c>
      <c r="E63" s="135">
        <v>103</v>
      </c>
      <c r="F63" s="135">
        <v>123</v>
      </c>
      <c r="G63" s="135">
        <v>128</v>
      </c>
      <c r="H63" s="135">
        <v>488</v>
      </c>
      <c r="I63" s="508"/>
      <c r="J63" s="135">
        <v>140</v>
      </c>
      <c r="K63" s="135">
        <v>109</v>
      </c>
      <c r="L63" s="135">
        <v>132</v>
      </c>
      <c r="M63" s="135">
        <v>123</v>
      </c>
      <c r="N63" s="135">
        <v>504</v>
      </c>
      <c r="O63" s="508"/>
      <c r="P63" s="135">
        <v>128</v>
      </c>
      <c r="Q63" s="135">
        <v>127</v>
      </c>
      <c r="R63" s="135">
        <v>119</v>
      </c>
      <c r="S63" s="135">
        <v>125</v>
      </c>
      <c r="T63" s="135">
        <v>499</v>
      </c>
      <c r="U63" s="508"/>
      <c r="V63" s="135">
        <v>136</v>
      </c>
      <c r="W63" s="135">
        <v>125</v>
      </c>
      <c r="X63" s="135">
        <v>127</v>
      </c>
      <c r="Y63" s="135">
        <v>118</v>
      </c>
      <c r="Z63" s="135">
        <f t="shared" si="17"/>
        <v>506</v>
      </c>
      <c r="AA63" s="508"/>
      <c r="AB63" s="135">
        <v>140</v>
      </c>
      <c r="AC63" s="135">
        <v>138</v>
      </c>
      <c r="AD63" s="135">
        <v>127</v>
      </c>
      <c r="AE63" s="135">
        <v>130</v>
      </c>
      <c r="AF63" s="135">
        <v>535</v>
      </c>
      <c r="AG63" s="508"/>
      <c r="AH63" s="135">
        <v>132</v>
      </c>
      <c r="AI63" s="135">
        <v>128</v>
      </c>
      <c r="AJ63" s="397">
        <v>128</v>
      </c>
      <c r="AK63" s="397">
        <v>133</v>
      </c>
      <c r="AL63" s="397">
        <v>521</v>
      </c>
      <c r="AM63" s="397">
        <v>139</v>
      </c>
      <c r="AN63" s="397">
        <v>127</v>
      </c>
      <c r="AO63" s="397">
        <v>115</v>
      </c>
      <c r="AP63" s="506">
        <v>163</v>
      </c>
      <c r="AQ63" s="506">
        <v>544</v>
      </c>
      <c r="AR63" s="506">
        <v>220</v>
      </c>
      <c r="AS63" s="397">
        <v>217</v>
      </c>
      <c r="AT63" s="397">
        <v>258</v>
      </c>
      <c r="AU63" s="397">
        <v>-34</v>
      </c>
      <c r="AV63" s="397">
        <v>661</v>
      </c>
      <c r="AW63" s="397">
        <v>320</v>
      </c>
      <c r="AX63" s="397">
        <v>53</v>
      </c>
      <c r="AY63" s="397">
        <v>164</v>
      </c>
      <c r="AZ63" s="397">
        <f t="shared" si="18"/>
        <v>249</v>
      </c>
      <c r="BA63" s="397">
        <v>786</v>
      </c>
      <c r="BB63" s="397">
        <v>355</v>
      </c>
      <c r="BC63" s="397">
        <v>58</v>
      </c>
      <c r="BD63" s="434">
        <v>189</v>
      </c>
    </row>
    <row r="64" spans="2:56" s="471" customFormat="1" ht="16.5" customHeight="1">
      <c r="B64" s="106" t="s">
        <v>109</v>
      </c>
      <c r="C64" s="476"/>
      <c r="D64" s="134">
        <v>0</v>
      </c>
      <c r="E64" s="135">
        <v>0</v>
      </c>
      <c r="F64" s="135">
        <v>1</v>
      </c>
      <c r="G64" s="135">
        <v>42</v>
      </c>
      <c r="H64" s="135">
        <v>43</v>
      </c>
      <c r="I64" s="508"/>
      <c r="J64" s="135">
        <v>0</v>
      </c>
      <c r="K64" s="135">
        <v>0</v>
      </c>
      <c r="L64" s="135">
        <v>26</v>
      </c>
      <c r="M64" s="135">
        <v>2391</v>
      </c>
      <c r="N64" s="135">
        <v>2417</v>
      </c>
      <c r="O64" s="508"/>
      <c r="P64" s="135">
        <v>0</v>
      </c>
      <c r="Q64" s="135">
        <v>0</v>
      </c>
      <c r="R64" s="135">
        <v>0</v>
      </c>
      <c r="S64" s="135">
        <v>269</v>
      </c>
      <c r="T64" s="135">
        <v>269</v>
      </c>
      <c r="U64" s="508"/>
      <c r="V64" s="135">
        <v>0</v>
      </c>
      <c r="W64" s="135">
        <v>0</v>
      </c>
      <c r="X64" s="135">
        <v>0</v>
      </c>
      <c r="Y64" s="135">
        <v>-344</v>
      </c>
      <c r="Z64" s="135">
        <f t="shared" si="17"/>
        <v>-344</v>
      </c>
      <c r="AA64" s="508"/>
      <c r="AB64" s="135">
        <v>0</v>
      </c>
      <c r="AC64" s="135">
        <v>0</v>
      </c>
      <c r="AD64" s="135">
        <v>0</v>
      </c>
      <c r="AE64" s="135">
        <v>9</v>
      </c>
      <c r="AF64" s="135">
        <f>-26+35</f>
        <v>9</v>
      </c>
      <c r="AG64" s="508"/>
      <c r="AH64" s="135">
        <v>0</v>
      </c>
      <c r="AI64" s="135">
        <v>0</v>
      </c>
      <c r="AJ64" s="397">
        <v>0</v>
      </c>
      <c r="AK64" s="397">
        <v>-19</v>
      </c>
      <c r="AL64" s="397">
        <v>-19</v>
      </c>
      <c r="AM64" s="397">
        <v>27</v>
      </c>
      <c r="AN64" s="397">
        <v>65</v>
      </c>
      <c r="AO64" s="397">
        <v>0</v>
      </c>
      <c r="AP64" s="506">
        <v>70</v>
      </c>
      <c r="AQ64" s="506">
        <v>162</v>
      </c>
      <c r="AR64" s="310">
        <v>-1</v>
      </c>
      <c r="AS64" s="397">
        <v>-23</v>
      </c>
      <c r="AT64" s="397">
        <v>0</v>
      </c>
      <c r="AU64" s="397">
        <v>322</v>
      </c>
      <c r="AV64" s="397">
        <v>298</v>
      </c>
      <c r="AW64" s="397">
        <v>0</v>
      </c>
      <c r="AX64" s="397">
        <v>47</v>
      </c>
      <c r="AY64" s="397">
        <v>-1</v>
      </c>
      <c r="AZ64" s="397">
        <f t="shared" si="18"/>
        <v>34</v>
      </c>
      <c r="BA64" s="397">
        <f>-3+83</f>
        <v>80</v>
      </c>
      <c r="BB64" s="397">
        <v>8</v>
      </c>
      <c r="BC64" s="397">
        <v>-1</v>
      </c>
      <c r="BD64" s="272">
        <v>-1</v>
      </c>
    </row>
    <row r="65" spans="2:56" s="471" customFormat="1" ht="12" customHeight="1">
      <c r="B65" s="585" t="s">
        <v>110</v>
      </c>
      <c r="C65" s="476"/>
      <c r="D65" s="134">
        <v>35</v>
      </c>
      <c r="E65" s="135">
        <v>68</v>
      </c>
      <c r="F65" s="135">
        <v>64</v>
      </c>
      <c r="G65" s="135">
        <v>136</v>
      </c>
      <c r="H65" s="135">
        <v>303</v>
      </c>
      <c r="I65" s="508"/>
      <c r="J65" s="135">
        <v>50</v>
      </c>
      <c r="K65" s="135">
        <v>126</v>
      </c>
      <c r="L65" s="135">
        <v>80</v>
      </c>
      <c r="M65" s="135">
        <v>115</v>
      </c>
      <c r="N65" s="135">
        <v>371</v>
      </c>
      <c r="O65" s="508"/>
      <c r="P65" s="135">
        <v>43</v>
      </c>
      <c r="Q65" s="135">
        <v>64</v>
      </c>
      <c r="R65" s="135">
        <v>95</v>
      </c>
      <c r="S65" s="135">
        <v>72</v>
      </c>
      <c r="T65" s="135">
        <v>274</v>
      </c>
      <c r="U65" s="508"/>
      <c r="V65" s="135">
        <v>52</v>
      </c>
      <c r="W65" s="135">
        <v>62</v>
      </c>
      <c r="X65" s="135">
        <v>48</v>
      </c>
      <c r="Y65" s="135">
        <v>178</v>
      </c>
      <c r="Z65" s="135">
        <f t="shared" si="17"/>
        <v>340</v>
      </c>
      <c r="AA65" s="508"/>
      <c r="AB65" s="135">
        <v>52</v>
      </c>
      <c r="AC65" s="135">
        <v>51</v>
      </c>
      <c r="AD65" s="135">
        <v>62</v>
      </c>
      <c r="AE65" s="135">
        <v>54</v>
      </c>
      <c r="AF65" s="135">
        <v>219</v>
      </c>
      <c r="AG65" s="508"/>
      <c r="AH65" s="135">
        <v>42</v>
      </c>
      <c r="AI65" s="135">
        <v>63</v>
      </c>
      <c r="AJ65" s="397">
        <v>27</v>
      </c>
      <c r="AK65" s="397">
        <v>293</v>
      </c>
      <c r="AL65" s="397">
        <v>425</v>
      </c>
      <c r="AM65" s="397">
        <f>45+68</f>
        <v>113</v>
      </c>
      <c r="AN65" s="397">
        <v>59</v>
      </c>
      <c r="AO65" s="397">
        <v>46</v>
      </c>
      <c r="AP65" s="506">
        <v>66</v>
      </c>
      <c r="AQ65" s="506">
        <v>284</v>
      </c>
      <c r="AR65" s="310">
        <v>30</v>
      </c>
      <c r="AS65" s="397">
        <v>78</v>
      </c>
      <c r="AT65" s="397">
        <v>3</v>
      </c>
      <c r="AU65" s="397">
        <v>60</v>
      </c>
      <c r="AV65" s="397">
        <v>171</v>
      </c>
      <c r="AW65" s="397">
        <v>37</v>
      </c>
      <c r="AX65" s="397">
        <v>79</v>
      </c>
      <c r="AY65" s="397">
        <v>54</v>
      </c>
      <c r="AZ65" s="397">
        <f t="shared" si="18"/>
        <v>95</v>
      </c>
      <c r="BA65" s="397">
        <v>265</v>
      </c>
      <c r="BB65" s="397">
        <v>245</v>
      </c>
      <c r="BC65" s="397">
        <v>81</v>
      </c>
      <c r="BD65" s="434">
        <v>180</v>
      </c>
    </row>
    <row r="66" spans="2:56" s="471" customFormat="1" ht="12" customHeight="1">
      <c r="B66" s="577" t="s">
        <v>111</v>
      </c>
      <c r="C66" s="493"/>
      <c r="D66" s="140">
        <f>SUM(D58:D65)</f>
        <v>4526</v>
      </c>
      <c r="E66" s="141">
        <f>SUM(E58:E65)</f>
        <v>4280</v>
      </c>
      <c r="F66" s="141">
        <f>SUM(F58:F65)</f>
        <v>4588</v>
      </c>
      <c r="G66" s="141">
        <f>SUM(G58:G65)</f>
        <v>4719</v>
      </c>
      <c r="H66" s="141">
        <f>SUM(H58:H65)</f>
        <v>18113</v>
      </c>
      <c r="I66" s="544"/>
      <c r="J66" s="141">
        <f>SUM(J58:J65)</f>
        <v>4499</v>
      </c>
      <c r="K66" s="141">
        <f>SUM(K58:K65)</f>
        <v>4767</v>
      </c>
      <c r="L66" s="141">
        <f>SUM(L58:L65)</f>
        <v>4439</v>
      </c>
      <c r="M66" s="141">
        <f>SUM(M58:M65)</f>
        <v>7121</v>
      </c>
      <c r="N66" s="141">
        <f>SUM(N58:N65)</f>
        <v>20826</v>
      </c>
      <c r="O66" s="544"/>
      <c r="P66" s="141">
        <f aca="true" t="shared" si="19" ref="P66:Y66">SUM(P58:P65)</f>
        <v>4255</v>
      </c>
      <c r="Q66" s="141">
        <f t="shared" si="19"/>
        <v>4476</v>
      </c>
      <c r="R66" s="141">
        <f t="shared" si="19"/>
        <v>4211</v>
      </c>
      <c r="S66" s="141">
        <f t="shared" si="19"/>
        <v>5055</v>
      </c>
      <c r="T66" s="141">
        <f t="shared" si="19"/>
        <v>17997</v>
      </c>
      <c r="U66" s="544"/>
      <c r="V66" s="141">
        <f t="shared" si="19"/>
        <v>4457</v>
      </c>
      <c r="W66" s="141">
        <f t="shared" si="19"/>
        <v>4693</v>
      </c>
      <c r="X66" s="141">
        <f t="shared" si="19"/>
        <v>4680</v>
      </c>
      <c r="Y66" s="141">
        <f t="shared" si="19"/>
        <v>4693</v>
      </c>
      <c r="Z66" s="141">
        <f t="shared" si="17"/>
        <v>18523</v>
      </c>
      <c r="AA66" s="544"/>
      <c r="AB66" s="141">
        <f>SUM(AB58:AB65)</f>
        <v>4596</v>
      </c>
      <c r="AC66" s="141">
        <f>SUM(AC58:AC65)</f>
        <v>4668</v>
      </c>
      <c r="AD66" s="141">
        <f>SUM(AD58:AD65)</f>
        <v>4709</v>
      </c>
      <c r="AE66" s="141">
        <f>SUM(AE58:AE65)</f>
        <v>5067</v>
      </c>
      <c r="AF66" s="141">
        <f>SUM(AF58:AF65)</f>
        <v>19040</v>
      </c>
      <c r="AG66" s="544"/>
      <c r="AH66" s="141">
        <f>SUM(AH58:AH65)</f>
        <v>4953</v>
      </c>
      <c r="AI66" s="141">
        <f>SUM(AI58:AI65)</f>
        <v>5095</v>
      </c>
      <c r="AJ66" s="356">
        <f>SUM(AJ58:AJ65)</f>
        <v>5152</v>
      </c>
      <c r="AK66" s="356">
        <v>5454</v>
      </c>
      <c r="AL66" s="356">
        <v>20654</v>
      </c>
      <c r="AM66" s="356">
        <v>4942</v>
      </c>
      <c r="AN66" s="356">
        <v>4762</v>
      </c>
      <c r="AO66" s="356">
        <f>SUM(AO58:AO65)</f>
        <v>5158</v>
      </c>
      <c r="AP66" s="499">
        <f>AQ66-AO66-AN66-AM66</f>
        <v>5839</v>
      </c>
      <c r="AQ66" s="499">
        <v>20701</v>
      </c>
      <c r="AR66" s="499">
        <v>6285</v>
      </c>
      <c r="AS66" s="356">
        <v>7011</v>
      </c>
      <c r="AT66" s="356">
        <v>6835</v>
      </c>
      <c r="AU66" s="356">
        <v>7406</v>
      </c>
      <c r="AV66" s="356">
        <v>27537</v>
      </c>
      <c r="AW66" s="356">
        <v>7771</v>
      </c>
      <c r="AX66" s="356">
        <v>8302</v>
      </c>
      <c r="AY66" s="356">
        <v>7674</v>
      </c>
      <c r="AZ66" s="356">
        <f t="shared" si="18"/>
        <v>8641</v>
      </c>
      <c r="BA66" s="356">
        <v>32388</v>
      </c>
      <c r="BB66" s="356">
        <v>9119</v>
      </c>
      <c r="BC66" s="356">
        <v>8252</v>
      </c>
      <c r="BD66" s="437">
        <v>7995</v>
      </c>
    </row>
    <row r="67" spans="2:56" s="471" customFormat="1" ht="12" customHeight="1">
      <c r="B67" s="585" t="s">
        <v>112</v>
      </c>
      <c r="C67" s="476"/>
      <c r="D67" s="134">
        <v>111</v>
      </c>
      <c r="E67" s="135">
        <v>142</v>
      </c>
      <c r="F67" s="135">
        <v>130</v>
      </c>
      <c r="G67" s="135">
        <v>151</v>
      </c>
      <c r="H67" s="135">
        <v>534</v>
      </c>
      <c r="I67" s="508"/>
      <c r="J67" s="135">
        <v>117</v>
      </c>
      <c r="K67" s="135">
        <v>126</v>
      </c>
      <c r="L67" s="135">
        <v>146</v>
      </c>
      <c r="M67" s="135">
        <v>116</v>
      </c>
      <c r="N67" s="135">
        <v>505</v>
      </c>
      <c r="O67" s="508"/>
      <c r="P67" s="135">
        <v>90</v>
      </c>
      <c r="Q67" s="135">
        <v>122</v>
      </c>
      <c r="R67" s="135">
        <v>105</v>
      </c>
      <c r="S67" s="135">
        <v>119</v>
      </c>
      <c r="T67" s="135">
        <v>436</v>
      </c>
      <c r="U67" s="508"/>
      <c r="V67" s="135">
        <v>160</v>
      </c>
      <c r="W67" s="135">
        <v>133</v>
      </c>
      <c r="X67" s="135">
        <v>144</v>
      </c>
      <c r="Y67" s="135">
        <v>134</v>
      </c>
      <c r="Z67" s="135">
        <f t="shared" si="17"/>
        <v>571</v>
      </c>
      <c r="AA67" s="508"/>
      <c r="AB67" s="135">
        <v>163</v>
      </c>
      <c r="AC67" s="135">
        <v>179</v>
      </c>
      <c r="AD67" s="135">
        <v>180</v>
      </c>
      <c r="AE67" s="135">
        <v>131</v>
      </c>
      <c r="AF67" s="135">
        <v>653</v>
      </c>
      <c r="AG67" s="508"/>
      <c r="AH67" s="135">
        <v>203</v>
      </c>
      <c r="AI67" s="135">
        <v>179</v>
      </c>
      <c r="AJ67" s="397">
        <v>173</v>
      </c>
      <c r="AK67" s="397">
        <v>126</v>
      </c>
      <c r="AL67" s="397">
        <v>681</v>
      </c>
      <c r="AM67" s="397">
        <v>148</v>
      </c>
      <c r="AN67" s="397">
        <v>251</v>
      </c>
      <c r="AO67" s="397">
        <v>152</v>
      </c>
      <c r="AP67" s="506">
        <v>121</v>
      </c>
      <c r="AQ67" s="506">
        <v>672</v>
      </c>
      <c r="AR67" s="506">
        <v>164</v>
      </c>
      <c r="AS67" s="397">
        <v>193</v>
      </c>
      <c r="AT67" s="397">
        <v>218</v>
      </c>
      <c r="AU67" s="397">
        <v>215</v>
      </c>
      <c r="AV67" s="397">
        <v>790</v>
      </c>
      <c r="AW67" s="397">
        <v>243</v>
      </c>
      <c r="AX67" s="397">
        <v>200</v>
      </c>
      <c r="AY67" s="397">
        <v>213</v>
      </c>
      <c r="AZ67" s="397">
        <f t="shared" si="18"/>
        <v>136</v>
      </c>
      <c r="BA67" s="397">
        <v>792</v>
      </c>
      <c r="BB67" s="397">
        <v>205</v>
      </c>
      <c r="BC67" s="397">
        <v>163</v>
      </c>
      <c r="BD67" s="434">
        <v>173</v>
      </c>
    </row>
    <row r="68" spans="2:56" s="471" customFormat="1" ht="12" customHeight="1">
      <c r="B68" s="585" t="s">
        <v>113</v>
      </c>
      <c r="C68" s="476"/>
      <c r="D68" s="134">
        <v>-315</v>
      </c>
      <c r="E68" s="135">
        <v>-119</v>
      </c>
      <c r="F68" s="135">
        <v>-59</v>
      </c>
      <c r="G68" s="135">
        <v>498</v>
      </c>
      <c r="H68" s="135">
        <v>5</v>
      </c>
      <c r="I68" s="508"/>
      <c r="J68" s="135">
        <v>-253</v>
      </c>
      <c r="K68" s="135">
        <v>-192</v>
      </c>
      <c r="L68" s="135">
        <v>141</v>
      </c>
      <c r="M68" s="135">
        <v>300</v>
      </c>
      <c r="N68" s="135">
        <v>-4</v>
      </c>
      <c r="O68" s="508"/>
      <c r="P68" s="135">
        <v>-573</v>
      </c>
      <c r="Q68" s="135">
        <v>-226</v>
      </c>
      <c r="R68" s="135">
        <v>18</v>
      </c>
      <c r="S68" s="135">
        <v>556</v>
      </c>
      <c r="T68" s="135">
        <v>-225</v>
      </c>
      <c r="U68" s="508"/>
      <c r="V68" s="135">
        <v>-531</v>
      </c>
      <c r="W68" s="135">
        <v>-314</v>
      </c>
      <c r="X68" s="135">
        <v>-613</v>
      </c>
      <c r="Y68" s="135">
        <v>379</v>
      </c>
      <c r="Z68" s="135">
        <f t="shared" si="17"/>
        <v>-1079</v>
      </c>
      <c r="AA68" s="508"/>
      <c r="AB68" s="135">
        <v>-836</v>
      </c>
      <c r="AC68" s="135">
        <v>-76</v>
      </c>
      <c r="AD68" s="135">
        <v>142</v>
      </c>
      <c r="AE68" s="135">
        <v>395</v>
      </c>
      <c r="AF68" s="135">
        <v>-375</v>
      </c>
      <c r="AG68" s="508"/>
      <c r="AH68" s="135">
        <v>-158</v>
      </c>
      <c r="AI68" s="135">
        <v>170</v>
      </c>
      <c r="AJ68" s="397">
        <v>-151</v>
      </c>
      <c r="AK68" s="397">
        <v>476</v>
      </c>
      <c r="AL68" s="397">
        <v>337</v>
      </c>
      <c r="AM68" s="397">
        <v>-40</v>
      </c>
      <c r="AN68" s="397">
        <v>263</v>
      </c>
      <c r="AO68" s="397">
        <v>-296</v>
      </c>
      <c r="AP68" s="506">
        <v>547</v>
      </c>
      <c r="AQ68" s="506">
        <v>474</v>
      </c>
      <c r="AR68" s="506">
        <v>-799</v>
      </c>
      <c r="AS68" s="397">
        <v>-402</v>
      </c>
      <c r="AT68" s="397">
        <v>-455</v>
      </c>
      <c r="AU68" s="397">
        <v>112</v>
      </c>
      <c r="AV68" s="397">
        <v>-1544</v>
      </c>
      <c r="AW68" s="397">
        <v>-412</v>
      </c>
      <c r="AX68" s="397">
        <v>-318</v>
      </c>
      <c r="AY68" s="397">
        <v>-451</v>
      </c>
      <c r="AZ68" s="397">
        <f t="shared" si="18"/>
        <v>-827</v>
      </c>
      <c r="BA68" s="397">
        <v>-2008</v>
      </c>
      <c r="BB68" s="397">
        <v>-23</v>
      </c>
      <c r="BC68" s="397">
        <v>-108</v>
      </c>
      <c r="BD68" s="272">
        <v>-36</v>
      </c>
    </row>
    <row r="69" spans="2:56" s="471" customFormat="1" ht="24" customHeight="1">
      <c r="B69" s="585" t="s">
        <v>114</v>
      </c>
      <c r="C69" s="476"/>
      <c r="D69" s="134">
        <v>-333</v>
      </c>
      <c r="E69" s="135">
        <v>-333</v>
      </c>
      <c r="F69" s="135">
        <v>-393</v>
      </c>
      <c r="G69" s="135">
        <v>-454</v>
      </c>
      <c r="H69" s="135">
        <v>-1513</v>
      </c>
      <c r="I69" s="508"/>
      <c r="J69" s="135">
        <v>-355</v>
      </c>
      <c r="K69" s="135">
        <v>-415</v>
      </c>
      <c r="L69" s="135">
        <v>-434</v>
      </c>
      <c r="M69" s="135">
        <v>-621</v>
      </c>
      <c r="N69" s="135">
        <v>-1825</v>
      </c>
      <c r="O69" s="508"/>
      <c r="P69" s="135">
        <v>-350</v>
      </c>
      <c r="Q69" s="135">
        <v>-456</v>
      </c>
      <c r="R69" s="135">
        <v>-344</v>
      </c>
      <c r="S69" s="135">
        <v>-446</v>
      </c>
      <c r="T69" s="135">
        <v>-1596</v>
      </c>
      <c r="U69" s="508"/>
      <c r="V69" s="135">
        <v>-249</v>
      </c>
      <c r="W69" s="135">
        <v>-513</v>
      </c>
      <c r="X69" s="135">
        <v>-301</v>
      </c>
      <c r="Y69" s="135">
        <v>-405</v>
      </c>
      <c r="Z69" s="135">
        <f t="shared" si="17"/>
        <v>-1468</v>
      </c>
      <c r="AA69" s="508"/>
      <c r="AB69" s="135">
        <v>-316</v>
      </c>
      <c r="AC69" s="135">
        <v>-307</v>
      </c>
      <c r="AD69" s="135">
        <v>-314</v>
      </c>
      <c r="AE69" s="135">
        <v>-446</v>
      </c>
      <c r="AF69" s="135">
        <v>-1383</v>
      </c>
      <c r="AG69" s="508"/>
      <c r="AH69" s="135">
        <v>-249</v>
      </c>
      <c r="AI69" s="135">
        <v>-370</v>
      </c>
      <c r="AJ69" s="397">
        <v>-356</v>
      </c>
      <c r="AK69" s="397">
        <v>-429</v>
      </c>
      <c r="AL69" s="397">
        <v>1404</v>
      </c>
      <c r="AM69" s="397">
        <v>-246</v>
      </c>
      <c r="AN69" s="397">
        <v>-272</v>
      </c>
      <c r="AO69" s="397">
        <v>-348</v>
      </c>
      <c r="AP69" s="506">
        <v>-510</v>
      </c>
      <c r="AQ69" s="506">
        <v>-1376</v>
      </c>
      <c r="AR69" s="506">
        <v>-347</v>
      </c>
      <c r="AS69" s="397">
        <v>-405</v>
      </c>
      <c r="AT69" s="397">
        <v>-434</v>
      </c>
      <c r="AU69" s="397">
        <v>-504</v>
      </c>
      <c r="AV69" s="397">
        <v>-1690</v>
      </c>
      <c r="AW69" s="397">
        <v>-410</v>
      </c>
      <c r="AX69" s="397">
        <v>-481</v>
      </c>
      <c r="AY69" s="397">
        <v>-321</v>
      </c>
      <c r="AZ69" s="397">
        <f t="shared" si="18"/>
        <v>-457</v>
      </c>
      <c r="BA69" s="397">
        <v>-1669</v>
      </c>
      <c r="BB69" s="397">
        <v>-378</v>
      </c>
      <c r="BC69" s="397">
        <v>-368</v>
      </c>
      <c r="BD69" s="272">
        <v>-435</v>
      </c>
    </row>
    <row r="70" spans="2:56" s="471" customFormat="1" ht="28.5" customHeight="1">
      <c r="B70" s="577" t="s">
        <v>115</v>
      </c>
      <c r="C70" s="493"/>
      <c r="D70" s="140">
        <f>SUM(D66:D69)</f>
        <v>3989</v>
      </c>
      <c r="E70" s="141">
        <f>SUM(E66:E69)</f>
        <v>3970</v>
      </c>
      <c r="F70" s="141">
        <f>SUM(F66:F69)</f>
        <v>4266</v>
      </c>
      <c r="G70" s="141">
        <f>SUM(G66:G69)</f>
        <v>4914</v>
      </c>
      <c r="H70" s="141">
        <f>SUM(H66:H69)</f>
        <v>17139</v>
      </c>
      <c r="I70" s="544"/>
      <c r="J70" s="141">
        <f>SUM(J66:J69)</f>
        <v>4008</v>
      </c>
      <c r="K70" s="141">
        <f>SUM(K66:K69)</f>
        <v>4286</v>
      </c>
      <c r="L70" s="141">
        <f>SUM(L66:L69)</f>
        <v>4292</v>
      </c>
      <c r="M70" s="141">
        <f>SUM(M66:M69)</f>
        <v>6916</v>
      </c>
      <c r="N70" s="141">
        <f>SUM(N66:N69)</f>
        <v>19502</v>
      </c>
      <c r="O70" s="544"/>
      <c r="P70" s="141">
        <f aca="true" t="shared" si="20" ref="P70:Y70">SUM(P66:P69)</f>
        <v>3422</v>
      </c>
      <c r="Q70" s="141">
        <f t="shared" si="20"/>
        <v>3916</v>
      </c>
      <c r="R70" s="141">
        <f t="shared" si="20"/>
        <v>3990</v>
      </c>
      <c r="S70" s="141">
        <f t="shared" si="20"/>
        <v>5284</v>
      </c>
      <c r="T70" s="141">
        <f t="shared" si="20"/>
        <v>16612</v>
      </c>
      <c r="U70" s="544"/>
      <c r="V70" s="141">
        <f t="shared" si="20"/>
        <v>3837</v>
      </c>
      <c r="W70" s="141">
        <f t="shared" si="20"/>
        <v>3999</v>
      </c>
      <c r="X70" s="141">
        <f t="shared" si="20"/>
        <v>3910</v>
      </c>
      <c r="Y70" s="141">
        <f t="shared" si="20"/>
        <v>4801</v>
      </c>
      <c r="Z70" s="141">
        <f t="shared" si="17"/>
        <v>16547</v>
      </c>
      <c r="AA70" s="544"/>
      <c r="AB70" s="141">
        <f>SUM(AB66:AB69)</f>
        <v>3607</v>
      </c>
      <c r="AC70" s="141">
        <f>SUM(AC66:AC69)</f>
        <v>4464</v>
      </c>
      <c r="AD70" s="141">
        <f>SUM(AD66:AD69)</f>
        <v>4717</v>
      </c>
      <c r="AE70" s="141">
        <f>SUM(AE66:AE69)</f>
        <v>5147</v>
      </c>
      <c r="AF70" s="141">
        <f>AF66+AF67+AF68+AF69</f>
        <v>17935</v>
      </c>
      <c r="AG70" s="544"/>
      <c r="AH70" s="141">
        <f>AH66+AH67+AH68+AH69</f>
        <v>4749</v>
      </c>
      <c r="AI70" s="141">
        <f>AI66+AI67+AI68+AI69</f>
        <v>5074</v>
      </c>
      <c r="AJ70" s="356">
        <f>AJ66+AJ67+AJ68+AJ69</f>
        <v>4818</v>
      </c>
      <c r="AK70" s="356">
        <v>5627</v>
      </c>
      <c r="AL70" s="356">
        <v>20268</v>
      </c>
      <c r="AM70" s="356">
        <v>4804</v>
      </c>
      <c r="AN70" s="356">
        <v>5004</v>
      </c>
      <c r="AO70" s="356">
        <f>AO66+AO67+AO68+AO69</f>
        <v>4666</v>
      </c>
      <c r="AP70" s="499">
        <v>5997</v>
      </c>
      <c r="AQ70" s="499">
        <v>20471</v>
      </c>
      <c r="AR70" s="499">
        <v>5303</v>
      </c>
      <c r="AS70" s="356">
        <v>6397</v>
      </c>
      <c r="AT70" s="356">
        <v>6164</v>
      </c>
      <c r="AU70" s="356">
        <v>7229</v>
      </c>
      <c r="AV70" s="356">
        <v>25093</v>
      </c>
      <c r="AW70" s="356">
        <v>7192</v>
      </c>
      <c r="AX70" s="356">
        <v>7703</v>
      </c>
      <c r="AY70" s="356">
        <v>7115</v>
      </c>
      <c r="AZ70" s="356">
        <f t="shared" si="18"/>
        <v>7493</v>
      </c>
      <c r="BA70" s="356">
        <v>29503</v>
      </c>
      <c r="BB70" s="356">
        <v>8923</v>
      </c>
      <c r="BC70" s="356">
        <v>7939</v>
      </c>
      <c r="BD70" s="437">
        <v>7697</v>
      </c>
    </row>
    <row r="71" spans="1:34" ht="11.25" customHeight="1">
      <c r="A71" s="493"/>
      <c r="B71" s="493"/>
      <c r="C71" s="493"/>
      <c r="D71" s="471"/>
      <c r="E71" s="471"/>
      <c r="F71" s="471"/>
      <c r="T71" s="471"/>
      <c r="V71" s="471"/>
      <c r="W71" s="471"/>
      <c r="X71" s="471"/>
      <c r="Y71" s="471"/>
      <c r="Z71" s="471"/>
      <c r="AB71" s="471"/>
      <c r="AC71" s="471"/>
      <c r="AD71" s="471"/>
      <c r="AE71" s="471"/>
      <c r="AF71" s="471"/>
      <c r="AH71" s="471"/>
    </row>
    <row r="72" spans="1:2" ht="24" customHeight="1">
      <c r="A72" s="653" t="s">
        <v>116</v>
      </c>
      <c r="B72" s="653"/>
    </row>
  </sheetData>
  <sheetProtection/>
  <mergeCells count="1">
    <mergeCell ref="A72:B7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3" r:id="rId1"/>
  <ignoredErrors>
    <ignoredError sqref="AZ1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I78"/>
  <sheetViews>
    <sheetView showGridLines="0" zoomScale="120" zoomScaleNormal="120" zoomScalePageLayoutView="0" workbookViewId="0" topLeftCell="A1">
      <selection activeCell="D35" sqref="D35"/>
    </sheetView>
  </sheetViews>
  <sheetFormatPr defaultColWidth="9.421875" defaultRowHeight="12.75"/>
  <cols>
    <col min="1" max="1" width="61.57421875" style="313" customWidth="1"/>
    <col min="2" max="2" width="0.9921875" style="313" customWidth="1"/>
    <col min="3" max="9" width="13.00390625" style="313" customWidth="1"/>
    <col min="10" max="10" width="15.57421875" style="313" customWidth="1"/>
    <col min="11" max="16384" width="9.421875" style="313" customWidth="1"/>
  </cols>
  <sheetData>
    <row r="1" spans="1:9" ht="15">
      <c r="A1" s="312"/>
      <c r="B1" s="312"/>
      <c r="C1" s="305"/>
      <c r="D1" s="305"/>
      <c r="E1" s="305"/>
      <c r="F1" s="305" t="s">
        <v>122</v>
      </c>
      <c r="G1" s="305"/>
      <c r="H1" s="305"/>
      <c r="I1" s="305"/>
    </row>
    <row r="2" spans="3:9" ht="27" customHeight="1">
      <c r="C2" s="654" t="s">
        <v>22</v>
      </c>
      <c r="D2" s="654" t="s">
        <v>23</v>
      </c>
      <c r="E2" s="654" t="s">
        <v>38</v>
      </c>
      <c r="F2" s="654" t="s">
        <v>117</v>
      </c>
      <c r="G2" s="660" t="s">
        <v>118</v>
      </c>
      <c r="H2" s="660"/>
      <c r="I2" s="654" t="s">
        <v>119</v>
      </c>
    </row>
    <row r="3" spans="1:9" ht="51">
      <c r="A3" s="403" t="s">
        <v>123</v>
      </c>
      <c r="B3" s="314"/>
      <c r="C3" s="655"/>
      <c r="D3" s="655"/>
      <c r="E3" s="655"/>
      <c r="F3" s="654"/>
      <c r="G3" s="571" t="s">
        <v>120</v>
      </c>
      <c r="H3" s="571" t="s">
        <v>121</v>
      </c>
      <c r="I3" s="654"/>
    </row>
    <row r="4" spans="1:9" ht="12.75">
      <c r="A4" s="586" t="s">
        <v>124</v>
      </c>
      <c r="B4" s="316"/>
      <c r="C4" s="449">
        <v>6960</v>
      </c>
      <c r="D4" s="449">
        <v>470</v>
      </c>
      <c r="E4" s="449">
        <v>768</v>
      </c>
      <c r="F4" s="449">
        <v>2960</v>
      </c>
      <c r="G4" s="449">
        <v>-768</v>
      </c>
      <c r="H4" s="449">
        <v>-2499</v>
      </c>
      <c r="I4" s="449">
        <v>7891</v>
      </c>
    </row>
    <row r="5" spans="1:9" ht="12.75">
      <c r="A5" s="587" t="s">
        <v>125</v>
      </c>
      <c r="C5" s="317">
        <v>170</v>
      </c>
      <c r="D5" s="317">
        <v>0</v>
      </c>
      <c r="E5" s="317">
        <v>0</v>
      </c>
      <c r="F5" s="317">
        <v>2329</v>
      </c>
      <c r="G5" s="317">
        <v>0</v>
      </c>
      <c r="H5" s="317">
        <v>-2499</v>
      </c>
      <c r="I5" s="317">
        <v>0</v>
      </c>
    </row>
    <row r="6" spans="1:9" ht="12.75">
      <c r="A6" s="587" t="s">
        <v>126</v>
      </c>
      <c r="C6" s="317">
        <v>6790</v>
      </c>
      <c r="D6" s="317">
        <v>470</v>
      </c>
      <c r="E6" s="317">
        <v>768</v>
      </c>
      <c r="F6" s="317">
        <v>631</v>
      </c>
      <c r="G6" s="317">
        <v>-768</v>
      </c>
      <c r="H6" s="317">
        <v>0</v>
      </c>
      <c r="I6" s="317">
        <v>7891</v>
      </c>
    </row>
    <row r="7" spans="1:9" ht="12.75">
      <c r="A7" s="586" t="s">
        <v>127</v>
      </c>
      <c r="B7" s="316"/>
      <c r="C7" s="450">
        <v>530</v>
      </c>
      <c r="D7" s="450">
        <v>-336</v>
      </c>
      <c r="E7" s="450">
        <v>-26</v>
      </c>
      <c r="F7" s="450">
        <v>-26</v>
      </c>
      <c r="G7" s="450">
        <v>26</v>
      </c>
      <c r="H7" s="450">
        <v>267</v>
      </c>
      <c r="I7" s="450">
        <v>435</v>
      </c>
    </row>
    <row r="8" spans="3:9" ht="9.75" customHeight="1">
      <c r="C8" s="319"/>
      <c r="D8" s="319"/>
      <c r="E8" s="319"/>
      <c r="F8" s="319"/>
      <c r="G8" s="319"/>
      <c r="H8" s="319"/>
      <c r="I8" s="319"/>
    </row>
    <row r="9" spans="1:9" ht="12.75">
      <c r="A9" s="588" t="s">
        <v>128</v>
      </c>
      <c r="B9" s="320"/>
      <c r="C9" s="321"/>
      <c r="D9" s="321"/>
      <c r="E9" s="321"/>
      <c r="F9" s="321"/>
      <c r="G9" s="321"/>
      <c r="H9" s="321"/>
      <c r="I9" s="321"/>
    </row>
    <row r="10" spans="1:9" ht="15" customHeight="1">
      <c r="A10" s="589" t="s">
        <v>97</v>
      </c>
      <c r="C10" s="259">
        <v>-427</v>
      </c>
      <c r="D10" s="259">
        <v>-169</v>
      </c>
      <c r="E10" s="259">
        <v>-191</v>
      </c>
      <c r="F10" s="259">
        <v>-73</v>
      </c>
      <c r="G10" s="259">
        <v>191</v>
      </c>
      <c r="H10" s="259">
        <v>8</v>
      </c>
      <c r="I10" s="259">
        <v>-661</v>
      </c>
    </row>
    <row r="11" spans="1:9" ht="18" customHeight="1">
      <c r="A11" s="306" t="s">
        <v>129</v>
      </c>
      <c r="B11" s="322"/>
      <c r="C11" s="317">
        <v>7</v>
      </c>
      <c r="D11" s="317">
        <v>10</v>
      </c>
      <c r="E11" s="317">
        <v>0</v>
      </c>
      <c r="F11" s="317">
        <v>1</v>
      </c>
      <c r="G11" s="317">
        <v>0</v>
      </c>
      <c r="H11" s="317">
        <v>-6</v>
      </c>
      <c r="I11" s="317">
        <v>12</v>
      </c>
    </row>
    <row r="12" spans="1:9" ht="12" customHeight="1" hidden="1">
      <c r="A12" s="307" t="s">
        <v>52</v>
      </c>
      <c r="B12" s="322"/>
      <c r="C12" s="317"/>
      <c r="D12" s="317"/>
      <c r="E12" s="317"/>
      <c r="F12" s="317"/>
      <c r="G12" s="317"/>
      <c r="H12" s="317"/>
      <c r="I12" s="317"/>
    </row>
    <row r="13" spans="1:9" ht="14.25" customHeight="1" hidden="1">
      <c r="A13" s="307" t="s">
        <v>53</v>
      </c>
      <c r="B13" s="322"/>
      <c r="C13" s="317"/>
      <c r="D13" s="317"/>
      <c r="E13" s="317"/>
      <c r="F13" s="317"/>
      <c r="G13" s="317"/>
      <c r="H13" s="317"/>
      <c r="I13" s="317"/>
    </row>
    <row r="14" spans="1:9" ht="12.75" customHeight="1">
      <c r="A14" s="323"/>
      <c r="B14" s="322"/>
      <c r="C14" s="317"/>
      <c r="D14" s="317"/>
      <c r="E14" s="317"/>
      <c r="F14" s="317"/>
      <c r="G14" s="317"/>
      <c r="H14" s="317"/>
      <c r="I14" s="317"/>
    </row>
    <row r="15" spans="1:9" ht="9.75" customHeight="1" hidden="1">
      <c r="A15" s="323"/>
      <c r="B15" s="322"/>
      <c r="C15" s="317"/>
      <c r="D15" s="317"/>
      <c r="E15" s="317"/>
      <c r="F15" s="317"/>
      <c r="G15" s="317"/>
      <c r="H15" s="317"/>
      <c r="I15" s="317"/>
    </row>
    <row r="16" spans="3:9" ht="12.75" hidden="1">
      <c r="C16" s="319"/>
      <c r="D16" s="319"/>
      <c r="E16" s="319"/>
      <c r="F16" s="319"/>
      <c r="G16" s="319"/>
      <c r="H16" s="319"/>
      <c r="I16" s="319"/>
    </row>
    <row r="17" spans="3:9" ht="12.75">
      <c r="C17" s="308"/>
      <c r="D17" s="305"/>
      <c r="E17" s="305"/>
      <c r="F17" s="309" t="s">
        <v>162</v>
      </c>
      <c r="G17" s="305"/>
      <c r="H17" s="305"/>
      <c r="I17" s="305"/>
    </row>
    <row r="18" spans="1:9" ht="12.75">
      <c r="A18" s="315" t="s">
        <v>130</v>
      </c>
      <c r="B18" s="316"/>
      <c r="C18" s="449">
        <v>51067</v>
      </c>
      <c r="D18" s="449">
        <v>15799</v>
      </c>
      <c r="E18" s="449">
        <v>13783</v>
      </c>
      <c r="F18" s="450">
        <v>6358</v>
      </c>
      <c r="G18" s="450">
        <v>-13783</v>
      </c>
      <c r="H18" s="450">
        <v>-17727</v>
      </c>
      <c r="I18" s="450">
        <v>55497</v>
      </c>
    </row>
    <row r="19" spans="1:9" ht="12.75" hidden="1">
      <c r="A19" s="318" t="s">
        <v>36</v>
      </c>
      <c r="C19" s="317"/>
      <c r="D19" s="317"/>
      <c r="E19" s="317"/>
      <c r="F19" s="259"/>
      <c r="G19" s="259"/>
      <c r="H19" s="259"/>
      <c r="I19" s="259"/>
    </row>
    <row r="20" spans="1:9" ht="12.75" hidden="1">
      <c r="A20" s="318" t="s">
        <v>37</v>
      </c>
      <c r="C20" s="317"/>
      <c r="D20" s="317"/>
      <c r="E20" s="317"/>
      <c r="F20" s="259"/>
      <c r="G20" s="259"/>
      <c r="H20" s="259"/>
      <c r="I20" s="259"/>
    </row>
    <row r="21" spans="1:9" ht="12.75">
      <c r="A21" s="586" t="s">
        <v>131</v>
      </c>
      <c r="B21" s="316"/>
      <c r="C21" s="449">
        <v>19516</v>
      </c>
      <c r="D21" s="449">
        <v>20317</v>
      </c>
      <c r="E21" s="449">
        <v>14157</v>
      </c>
      <c r="F21" s="450">
        <v>3459</v>
      </c>
      <c r="G21" s="450">
        <v>-14157</v>
      </c>
      <c r="H21" s="450">
        <v>-20903</v>
      </c>
      <c r="I21" s="450">
        <v>22389</v>
      </c>
    </row>
    <row r="22" spans="1:9" ht="12.75">
      <c r="A22" s="590" t="s">
        <v>132</v>
      </c>
      <c r="C22" s="317">
        <v>19516</v>
      </c>
      <c r="D22" s="317">
        <v>20317</v>
      </c>
      <c r="E22" s="317">
        <v>14157</v>
      </c>
      <c r="F22" s="259">
        <v>3459</v>
      </c>
      <c r="G22" s="259">
        <v>-14157</v>
      </c>
      <c r="H22" s="259">
        <v>-20992</v>
      </c>
      <c r="I22" s="259">
        <v>22300</v>
      </c>
    </row>
    <row r="23" spans="1:9" ht="12.75">
      <c r="A23" s="587" t="s">
        <v>133</v>
      </c>
      <c r="C23" s="317">
        <v>0</v>
      </c>
      <c r="D23" s="317">
        <v>0</v>
      </c>
      <c r="E23" s="317">
        <v>0</v>
      </c>
      <c r="F23" s="259">
        <v>0</v>
      </c>
      <c r="G23" s="259">
        <v>0</v>
      </c>
      <c r="H23" s="259">
        <v>89</v>
      </c>
      <c r="I23" s="259">
        <v>89</v>
      </c>
    </row>
    <row r="24" ht="12.75">
      <c r="C24" s="324"/>
    </row>
    <row r="25" spans="1:9" ht="12.75">
      <c r="A25" s="409" t="s">
        <v>134</v>
      </c>
      <c r="B25" s="316"/>
      <c r="C25" s="663" t="s">
        <v>122</v>
      </c>
      <c r="D25" s="663"/>
      <c r="E25" s="663"/>
      <c r="F25" s="663"/>
      <c r="G25" s="663"/>
      <c r="H25" s="663"/>
      <c r="I25" s="663"/>
    </row>
    <row r="26" spans="1:9" ht="15" customHeight="1">
      <c r="A26" s="591" t="s">
        <v>135</v>
      </c>
      <c r="B26" s="325"/>
      <c r="C26" s="259">
        <v>610</v>
      </c>
      <c r="D26" s="259">
        <v>222</v>
      </c>
      <c r="E26" s="259">
        <v>233</v>
      </c>
      <c r="F26" s="259">
        <v>116</v>
      </c>
      <c r="G26" s="259">
        <v>-233</v>
      </c>
      <c r="H26" s="259">
        <v>46</v>
      </c>
      <c r="I26" s="259">
        <v>994</v>
      </c>
    </row>
    <row r="27" spans="1:9" ht="12.75">
      <c r="A27" s="592" t="s">
        <v>136</v>
      </c>
      <c r="B27" s="326"/>
      <c r="C27" s="321"/>
      <c r="D27" s="321"/>
      <c r="E27" s="321"/>
      <c r="F27" s="321"/>
      <c r="G27" s="321"/>
      <c r="H27" s="321"/>
      <c r="I27" s="321"/>
    </row>
    <row r="28" spans="1:9" ht="12.75">
      <c r="A28" s="587" t="s">
        <v>137</v>
      </c>
      <c r="C28" s="327">
        <v>147.7</v>
      </c>
      <c r="D28" s="327">
        <v>8.700000000000001</v>
      </c>
      <c r="E28" s="327">
        <v>19.6</v>
      </c>
      <c r="F28" s="321"/>
      <c r="G28" s="321"/>
      <c r="H28" s="321"/>
      <c r="I28" s="321"/>
    </row>
    <row r="29" spans="1:9" ht="12.75">
      <c r="A29" s="587" t="s">
        <v>138</v>
      </c>
      <c r="C29" s="327">
        <v>0</v>
      </c>
      <c r="D29" s="327">
        <v>0.1</v>
      </c>
      <c r="E29" s="327">
        <v>1</v>
      </c>
      <c r="F29" s="321"/>
      <c r="G29" s="321"/>
      <c r="H29" s="321"/>
      <c r="I29" s="321"/>
    </row>
    <row r="30" spans="1:9" ht="12.75">
      <c r="A30" s="587" t="s">
        <v>139</v>
      </c>
      <c r="C30" s="327">
        <v>380.89999999999986</v>
      </c>
      <c r="D30" s="327">
        <v>0.7000000000000002</v>
      </c>
      <c r="E30" s="327">
        <v>5.500000000000002</v>
      </c>
      <c r="F30" s="321"/>
      <c r="G30" s="321"/>
      <c r="H30" s="321"/>
      <c r="I30" s="321"/>
    </row>
    <row r="31" spans="1:9" ht="12.75">
      <c r="A31" s="587" t="s">
        <v>140</v>
      </c>
      <c r="C31" s="327">
        <v>25.599999999999994</v>
      </c>
      <c r="D31" s="327">
        <v>7.699999999999999</v>
      </c>
      <c r="E31" s="327">
        <v>7.699999999999999</v>
      </c>
      <c r="F31" s="321"/>
      <c r="G31" s="321"/>
      <c r="H31" s="321"/>
      <c r="I31" s="321"/>
    </row>
    <row r="32" spans="1:9" ht="13.5" customHeight="1">
      <c r="A32" s="593" t="s">
        <v>141</v>
      </c>
      <c r="B32" s="328"/>
      <c r="C32" s="563" t="s">
        <v>156</v>
      </c>
      <c r="D32" s="563" t="s">
        <v>157</v>
      </c>
      <c r="E32" s="563" t="s">
        <v>158</v>
      </c>
      <c r="F32" s="52"/>
      <c r="G32" s="52"/>
      <c r="H32" s="52"/>
      <c r="I32" s="52"/>
    </row>
    <row r="33" spans="1:9" ht="12.75">
      <c r="A33" s="586" t="s">
        <v>142</v>
      </c>
      <c r="B33" s="316"/>
      <c r="C33" s="451">
        <v>873</v>
      </c>
      <c r="D33" s="451">
        <v>-113</v>
      </c>
      <c r="E33" s="451">
        <v>357</v>
      </c>
      <c r="F33" s="451">
        <v>56</v>
      </c>
      <c r="G33" s="451">
        <v>0</v>
      </c>
      <c r="H33" s="451">
        <v>0</v>
      </c>
      <c r="I33" s="451">
        <v>1173</v>
      </c>
    </row>
    <row r="34" spans="1:9" ht="12.75">
      <c r="A34" s="586" t="s">
        <v>143</v>
      </c>
      <c r="B34" s="316"/>
      <c r="C34" s="452">
        <v>0.1254310344827586</v>
      </c>
      <c r="D34" s="453" t="s">
        <v>376</v>
      </c>
      <c r="E34" s="452">
        <v>0.46484375</v>
      </c>
      <c r="F34" s="452">
        <v>0.01891891891891892</v>
      </c>
      <c r="G34" s="451">
        <v>0</v>
      </c>
      <c r="H34" s="451">
        <v>0</v>
      </c>
      <c r="I34" s="452">
        <v>0.135465989144243</v>
      </c>
    </row>
    <row r="36" spans="1:9" ht="12.75" customHeight="1">
      <c r="A36" s="657" t="s">
        <v>144</v>
      </c>
      <c r="B36" s="657"/>
      <c r="C36" s="657"/>
      <c r="D36" s="657"/>
      <c r="E36" s="657"/>
      <c r="F36" s="657"/>
      <c r="G36" s="657"/>
      <c r="H36" s="657"/>
      <c r="I36" s="657"/>
    </row>
    <row r="37" spans="1:9" ht="42" customHeight="1">
      <c r="A37" s="657" t="s">
        <v>145</v>
      </c>
      <c r="B37" s="657"/>
      <c r="C37" s="657"/>
      <c r="D37" s="657"/>
      <c r="E37" s="657"/>
      <c r="F37" s="657"/>
      <c r="G37" s="657"/>
      <c r="H37" s="657"/>
      <c r="I37" s="657"/>
    </row>
    <row r="38" spans="1:9" s="330" customFormat="1" ht="24.75" customHeight="1">
      <c r="A38" s="658" t="s">
        <v>146</v>
      </c>
      <c r="B38" s="658"/>
      <c r="C38" s="658"/>
      <c r="D38" s="658"/>
      <c r="E38" s="658"/>
      <c r="F38" s="658"/>
      <c r="G38" s="658"/>
      <c r="H38" s="658"/>
      <c r="I38" s="658"/>
    </row>
    <row r="39" spans="1:9" ht="12.75" customHeight="1">
      <c r="A39" s="657" t="s">
        <v>147</v>
      </c>
      <c r="B39" s="657"/>
      <c r="C39" s="657"/>
      <c r="D39" s="657"/>
      <c r="E39" s="657"/>
      <c r="F39" s="657"/>
      <c r="G39" s="657"/>
      <c r="H39" s="657"/>
      <c r="I39" s="657"/>
    </row>
    <row r="42" spans="1:9" ht="15">
      <c r="A42" s="400"/>
      <c r="B42" s="400"/>
      <c r="C42" s="401"/>
      <c r="D42" s="401"/>
      <c r="E42" s="401"/>
      <c r="F42" s="401" t="s">
        <v>164</v>
      </c>
      <c r="G42" s="401"/>
      <c r="H42" s="401"/>
      <c r="I42" s="401"/>
    </row>
    <row r="43" spans="1:9" ht="26.25" customHeight="1">
      <c r="A43" s="402"/>
      <c r="B43" s="402"/>
      <c r="C43" s="654" t="s">
        <v>22</v>
      </c>
      <c r="D43" s="654" t="s">
        <v>23</v>
      </c>
      <c r="E43" s="654" t="s">
        <v>38</v>
      </c>
      <c r="F43" s="654" t="s">
        <v>117</v>
      </c>
      <c r="G43" s="662" t="s">
        <v>118</v>
      </c>
      <c r="H43" s="662"/>
      <c r="I43" s="654" t="s">
        <v>119</v>
      </c>
    </row>
    <row r="44" spans="1:9" ht="51">
      <c r="A44" s="403" t="s">
        <v>148</v>
      </c>
      <c r="B44" s="404"/>
      <c r="C44" s="655"/>
      <c r="D44" s="655"/>
      <c r="E44" s="655"/>
      <c r="F44" s="654"/>
      <c r="G44" s="571" t="s">
        <v>120</v>
      </c>
      <c r="H44" s="571" t="s">
        <v>121</v>
      </c>
      <c r="I44" s="654"/>
    </row>
    <row r="45" spans="1:9" ht="12.75">
      <c r="A45" s="586" t="s">
        <v>124</v>
      </c>
      <c r="B45" s="405"/>
      <c r="C45" s="449">
        <v>6572</v>
      </c>
      <c r="D45" s="449">
        <v>648</v>
      </c>
      <c r="E45" s="449">
        <v>893</v>
      </c>
      <c r="F45" s="449">
        <v>3061</v>
      </c>
      <c r="G45" s="449">
        <v>-893</v>
      </c>
      <c r="H45" s="449">
        <v>-2511</v>
      </c>
      <c r="I45" s="449">
        <v>7770</v>
      </c>
    </row>
    <row r="46" spans="1:9" ht="12.75">
      <c r="A46" s="587" t="s">
        <v>125</v>
      </c>
      <c r="B46" s="402"/>
      <c r="C46" s="317">
        <v>114</v>
      </c>
      <c r="D46" s="317">
        <v>0</v>
      </c>
      <c r="E46" s="317">
        <v>-8</v>
      </c>
      <c r="F46" s="317">
        <v>2397</v>
      </c>
      <c r="G46" s="317">
        <v>8</v>
      </c>
      <c r="H46" s="317">
        <v>-2511</v>
      </c>
      <c r="I46" s="317">
        <v>0</v>
      </c>
    </row>
    <row r="47" spans="1:9" ht="12.75">
      <c r="A47" s="587" t="s">
        <v>126</v>
      </c>
      <c r="B47" s="402"/>
      <c r="C47" s="317">
        <v>6458</v>
      </c>
      <c r="D47" s="317">
        <v>648</v>
      </c>
      <c r="E47" s="317">
        <v>901</v>
      </c>
      <c r="F47" s="317">
        <v>664</v>
      </c>
      <c r="G47" s="317">
        <v>-901</v>
      </c>
      <c r="H47" s="317">
        <v>0</v>
      </c>
      <c r="I47" s="317">
        <v>7770</v>
      </c>
    </row>
    <row r="48" spans="1:9" ht="12.75">
      <c r="A48" s="586" t="s">
        <v>127</v>
      </c>
      <c r="B48" s="405"/>
      <c r="C48" s="450">
        <v>730</v>
      </c>
      <c r="D48" s="450">
        <v>-51</v>
      </c>
      <c r="E48" s="450">
        <v>-57</v>
      </c>
      <c r="F48" s="450">
        <v>28</v>
      </c>
      <c r="G48" s="450">
        <v>57</v>
      </c>
      <c r="H48" s="450">
        <v>380</v>
      </c>
      <c r="I48" s="450">
        <v>1087</v>
      </c>
    </row>
    <row r="49" spans="1:9" ht="12.75">
      <c r="A49" s="402"/>
      <c r="B49" s="402"/>
      <c r="C49" s="319"/>
      <c r="D49" s="319"/>
      <c r="E49" s="319"/>
      <c r="F49" s="319"/>
      <c r="G49" s="319"/>
      <c r="H49" s="319"/>
      <c r="I49" s="319"/>
    </row>
    <row r="50" spans="1:9" ht="12.75">
      <c r="A50" s="588" t="s">
        <v>128</v>
      </c>
      <c r="B50" s="406"/>
      <c r="C50" s="321"/>
      <c r="D50" s="321"/>
      <c r="E50" s="321"/>
      <c r="F50" s="321"/>
      <c r="G50" s="321"/>
      <c r="H50" s="321"/>
      <c r="I50" s="321"/>
    </row>
    <row r="51" spans="1:9" ht="12.75">
      <c r="A51" s="589" t="s">
        <v>97</v>
      </c>
      <c r="B51" s="402"/>
      <c r="C51" s="259"/>
      <c r="D51" s="259"/>
      <c r="E51" s="259"/>
      <c r="F51" s="259"/>
      <c r="G51" s="259"/>
      <c r="H51" s="259"/>
      <c r="I51" s="259"/>
    </row>
    <row r="52" spans="1:9" s="322" customFormat="1" ht="26.25" customHeight="1">
      <c r="A52" s="407" t="s">
        <v>149</v>
      </c>
      <c r="B52" s="408"/>
      <c r="C52" s="317">
        <v>-10</v>
      </c>
      <c r="D52" s="317">
        <v>0</v>
      </c>
      <c r="E52" s="317">
        <v>0</v>
      </c>
      <c r="F52" s="317">
        <v>0</v>
      </c>
      <c r="G52" s="317">
        <v>0</v>
      </c>
      <c r="H52" s="317">
        <v>12</v>
      </c>
      <c r="I52" s="317">
        <v>2</v>
      </c>
    </row>
    <row r="53" spans="1:9" s="322" customFormat="1" ht="12" customHeight="1" hidden="1">
      <c r="A53" s="307" t="s">
        <v>52</v>
      </c>
      <c r="C53" s="317"/>
      <c r="D53" s="317"/>
      <c r="E53" s="317"/>
      <c r="F53" s="317"/>
      <c r="G53" s="317"/>
      <c r="H53" s="317"/>
      <c r="I53" s="317"/>
    </row>
    <row r="54" spans="1:9" s="322" customFormat="1" ht="0.75" customHeight="1" hidden="1">
      <c r="A54" s="307" t="s">
        <v>53</v>
      </c>
      <c r="C54" s="317"/>
      <c r="D54" s="317"/>
      <c r="E54" s="317"/>
      <c r="F54" s="317"/>
      <c r="G54" s="317"/>
      <c r="H54" s="317"/>
      <c r="I54" s="317"/>
    </row>
    <row r="55" spans="3:9" ht="12" customHeight="1">
      <c r="C55" s="319"/>
      <c r="D55" s="319"/>
      <c r="E55" s="319"/>
      <c r="F55" s="319"/>
      <c r="G55" s="319"/>
      <c r="H55" s="319"/>
      <c r="I55" s="319"/>
    </row>
    <row r="56" spans="3:9" ht="12.75">
      <c r="C56" s="308"/>
      <c r="D56" s="305"/>
      <c r="E56" s="305"/>
      <c r="F56" s="309" t="s">
        <v>163</v>
      </c>
      <c r="G56" s="305"/>
      <c r="H56" s="305"/>
      <c r="I56" s="305"/>
    </row>
    <row r="57" spans="1:9" ht="12.75">
      <c r="A57" s="409" t="s">
        <v>150</v>
      </c>
      <c r="B57" s="316"/>
      <c r="C57" s="449">
        <v>47995</v>
      </c>
      <c r="D57" s="449">
        <v>15228</v>
      </c>
      <c r="E57" s="449">
        <v>13563</v>
      </c>
      <c r="F57" s="449">
        <v>6071</v>
      </c>
      <c r="G57" s="449">
        <v>-13563</v>
      </c>
      <c r="H57" s="449">
        <v>-15850</v>
      </c>
      <c r="I57" s="449">
        <v>53444</v>
      </c>
    </row>
    <row r="58" spans="1:9" ht="12" customHeight="1">
      <c r="A58" s="587" t="s">
        <v>151</v>
      </c>
      <c r="C58" s="317">
        <v>47995</v>
      </c>
      <c r="D58" s="317">
        <v>15228</v>
      </c>
      <c r="E58" s="317">
        <v>13563</v>
      </c>
      <c r="F58" s="317">
        <v>6071</v>
      </c>
      <c r="G58" s="317">
        <v>-13563</v>
      </c>
      <c r="H58" s="317">
        <v>-15854</v>
      </c>
      <c r="I58" s="317">
        <v>53440</v>
      </c>
    </row>
    <row r="59" spans="1:9" ht="12.75">
      <c r="A59" s="587" t="s">
        <v>152</v>
      </c>
      <c r="C59" s="317">
        <v>0</v>
      </c>
      <c r="D59" s="317">
        <v>0</v>
      </c>
      <c r="E59" s="317">
        <v>0</v>
      </c>
      <c r="F59" s="317">
        <v>0</v>
      </c>
      <c r="G59" s="317">
        <v>0</v>
      </c>
      <c r="H59" s="317">
        <v>4</v>
      </c>
      <c r="I59" s="317">
        <v>4</v>
      </c>
    </row>
    <row r="60" spans="1:9" ht="12.75">
      <c r="A60" s="586" t="s">
        <v>131</v>
      </c>
      <c r="B60" s="316"/>
      <c r="C60" s="449">
        <v>18320</v>
      </c>
      <c r="D60" s="449">
        <v>19276</v>
      </c>
      <c r="E60" s="449">
        <v>13992</v>
      </c>
      <c r="F60" s="449">
        <v>3446</v>
      </c>
      <c r="G60" s="449">
        <v>-13992</v>
      </c>
      <c r="H60" s="449">
        <v>-19744</v>
      </c>
      <c r="I60" s="449">
        <v>21298</v>
      </c>
    </row>
    <row r="61" spans="1:9" ht="12.75">
      <c r="A61" s="587" t="s">
        <v>132</v>
      </c>
      <c r="C61" s="317">
        <v>18320</v>
      </c>
      <c r="D61" s="317">
        <v>19276</v>
      </c>
      <c r="E61" s="317">
        <v>13992</v>
      </c>
      <c r="F61" s="259">
        <v>3446</v>
      </c>
      <c r="G61" s="317">
        <v>-13992</v>
      </c>
      <c r="H61" s="317">
        <v>-19804</v>
      </c>
      <c r="I61" s="259">
        <v>21238</v>
      </c>
    </row>
    <row r="62" spans="1:9" ht="12.75">
      <c r="A62" s="587" t="s">
        <v>133</v>
      </c>
      <c r="C62" s="317">
        <v>0</v>
      </c>
      <c r="D62" s="317">
        <v>0</v>
      </c>
      <c r="E62" s="317">
        <v>0</v>
      </c>
      <c r="F62" s="259">
        <v>0</v>
      </c>
      <c r="G62" s="317">
        <v>0</v>
      </c>
      <c r="H62" s="317">
        <v>60</v>
      </c>
      <c r="I62" s="259">
        <v>60</v>
      </c>
    </row>
    <row r="63" ht="12.75">
      <c r="C63" s="324"/>
    </row>
    <row r="64" spans="1:9" ht="12.75">
      <c r="A64" s="586" t="s">
        <v>134</v>
      </c>
      <c r="B64" s="405"/>
      <c r="C64" s="410"/>
      <c r="D64" s="401"/>
      <c r="E64" s="401"/>
      <c r="F64" s="401" t="s">
        <v>164</v>
      </c>
      <c r="G64" s="401"/>
      <c r="H64" s="401"/>
      <c r="I64" s="401"/>
    </row>
    <row r="65" spans="1:9" ht="12.75">
      <c r="A65" s="594" t="s">
        <v>153</v>
      </c>
      <c r="B65" s="411"/>
      <c r="C65" s="259">
        <v>647</v>
      </c>
      <c r="D65" s="259">
        <v>259</v>
      </c>
      <c r="E65" s="259">
        <v>211</v>
      </c>
      <c r="F65" s="259">
        <v>94</v>
      </c>
      <c r="G65" s="259">
        <v>-211</v>
      </c>
      <c r="H65" s="259">
        <v>-12</v>
      </c>
      <c r="I65" s="259">
        <v>988</v>
      </c>
    </row>
    <row r="66" spans="1:9" ht="12.75">
      <c r="A66" s="592" t="s">
        <v>136</v>
      </c>
      <c r="B66" s="412"/>
      <c r="C66" s="321"/>
      <c r="D66" s="321"/>
      <c r="E66" s="321"/>
      <c r="F66" s="321"/>
      <c r="G66" s="321"/>
      <c r="H66" s="321"/>
      <c r="I66" s="321"/>
    </row>
    <row r="67" spans="1:9" ht="12.75">
      <c r="A67" s="587" t="s">
        <v>137</v>
      </c>
      <c r="B67" s="402"/>
      <c r="C67" s="327">
        <v>146.2</v>
      </c>
      <c r="D67" s="327">
        <v>10.399999999999999</v>
      </c>
      <c r="E67" s="327">
        <v>23.200000000000003</v>
      </c>
      <c r="F67" s="321"/>
      <c r="G67" s="321"/>
      <c r="H67" s="321"/>
      <c r="I67" s="321"/>
    </row>
    <row r="68" spans="1:9" ht="12.75">
      <c r="A68" s="587" t="s">
        <v>138</v>
      </c>
      <c r="B68" s="402"/>
      <c r="C68" s="327">
        <v>0</v>
      </c>
      <c r="D68" s="327">
        <v>0</v>
      </c>
      <c r="E68" s="327">
        <v>0.5</v>
      </c>
      <c r="F68" s="321"/>
      <c r="G68" s="321"/>
      <c r="H68" s="321"/>
      <c r="I68" s="321"/>
    </row>
    <row r="69" spans="1:9" ht="12.75">
      <c r="A69" s="587" t="s">
        <v>139</v>
      </c>
      <c r="B69" s="402"/>
      <c r="C69" s="327">
        <v>331.29999999999995</v>
      </c>
      <c r="D69" s="327">
        <v>0.5999999999999999</v>
      </c>
      <c r="E69" s="327">
        <v>6.799999999999999</v>
      </c>
      <c r="F69" s="321"/>
      <c r="G69" s="321"/>
      <c r="H69" s="321"/>
      <c r="I69" s="321"/>
    </row>
    <row r="70" spans="1:9" ht="12.75">
      <c r="A70" s="587" t="s">
        <v>140</v>
      </c>
      <c r="B70" s="402"/>
      <c r="C70" s="327">
        <v>20.9</v>
      </c>
      <c r="D70" s="327">
        <v>10.5</v>
      </c>
      <c r="E70" s="327">
        <v>9.6</v>
      </c>
      <c r="F70" s="321"/>
      <c r="G70" s="321"/>
      <c r="H70" s="321"/>
      <c r="I70" s="321"/>
    </row>
    <row r="71" spans="1:9" ht="12.75">
      <c r="A71" s="593" t="s">
        <v>154</v>
      </c>
      <c r="B71" s="413"/>
      <c r="C71" s="329" t="s">
        <v>159</v>
      </c>
      <c r="D71" s="329" t="s">
        <v>160</v>
      </c>
      <c r="E71" s="329" t="s">
        <v>161</v>
      </c>
      <c r="F71" s="52"/>
      <c r="G71" s="52"/>
      <c r="H71" s="52"/>
      <c r="I71" s="52"/>
    </row>
    <row r="72" spans="1:9" ht="12.75">
      <c r="A72" s="586" t="s">
        <v>142</v>
      </c>
      <c r="B72" s="405"/>
      <c r="C72" s="451">
        <v>1005</v>
      </c>
      <c r="D72" s="451">
        <v>145</v>
      </c>
      <c r="E72" s="451">
        <v>402</v>
      </c>
      <c r="F72" s="451">
        <v>100</v>
      </c>
      <c r="G72" s="451">
        <v>0</v>
      </c>
      <c r="H72" s="451">
        <v>0</v>
      </c>
      <c r="I72" s="451">
        <v>1652</v>
      </c>
    </row>
    <row r="73" spans="1:9" ht="12.75">
      <c r="A73" s="586" t="s">
        <v>143</v>
      </c>
      <c r="B73" s="316"/>
      <c r="C73" s="452">
        <v>0.1529214850882532</v>
      </c>
      <c r="D73" s="452">
        <v>0.22376543209876543</v>
      </c>
      <c r="E73" s="452">
        <v>0.4501679731243001</v>
      </c>
      <c r="F73" s="452">
        <v>0.03266906239790918</v>
      </c>
      <c r="G73" s="449">
        <v>0</v>
      </c>
      <c r="H73" s="449">
        <v>0</v>
      </c>
      <c r="I73" s="452">
        <v>0.19069606371926584</v>
      </c>
    </row>
    <row r="75" spans="1:9" ht="12.75">
      <c r="A75" s="658" t="s">
        <v>144</v>
      </c>
      <c r="B75" s="658"/>
      <c r="C75" s="658"/>
      <c r="D75" s="658"/>
      <c r="E75" s="658"/>
      <c r="F75" s="658"/>
      <c r="G75" s="658"/>
      <c r="H75" s="658"/>
      <c r="I75" s="658"/>
    </row>
    <row r="76" spans="1:9" ht="39.75" customHeight="1">
      <c r="A76" s="661" t="s">
        <v>145</v>
      </c>
      <c r="B76" s="661"/>
      <c r="C76" s="661"/>
      <c r="D76" s="661"/>
      <c r="E76" s="661"/>
      <c r="F76" s="661"/>
      <c r="G76" s="661"/>
      <c r="H76" s="661"/>
      <c r="I76" s="661"/>
    </row>
    <row r="77" spans="1:9" ht="25.5" customHeight="1">
      <c r="A77" s="659" t="s">
        <v>155</v>
      </c>
      <c r="B77" s="659"/>
      <c r="C77" s="659"/>
      <c r="D77" s="659"/>
      <c r="E77" s="659"/>
      <c r="F77" s="659"/>
      <c r="G77" s="659"/>
      <c r="H77" s="659"/>
      <c r="I77" s="659"/>
    </row>
    <row r="78" spans="1:9" ht="12.75" customHeight="1">
      <c r="A78" s="656" t="s">
        <v>147</v>
      </c>
      <c r="B78" s="656"/>
      <c r="C78" s="656"/>
      <c r="D78" s="656"/>
      <c r="E78" s="656"/>
      <c r="F78" s="656"/>
      <c r="G78" s="656"/>
      <c r="H78" s="656"/>
      <c r="I78" s="656"/>
    </row>
  </sheetData>
  <sheetProtection/>
  <mergeCells count="21">
    <mergeCell ref="C2:C3"/>
    <mergeCell ref="C25:I25"/>
    <mergeCell ref="F2:F3"/>
    <mergeCell ref="A75:I75"/>
    <mergeCell ref="I43:I44"/>
    <mergeCell ref="I2:I3"/>
    <mergeCell ref="D2:D3"/>
    <mergeCell ref="D43:D44"/>
    <mergeCell ref="G2:H2"/>
    <mergeCell ref="E2:E3"/>
    <mergeCell ref="F43:F44"/>
    <mergeCell ref="G43:H43"/>
    <mergeCell ref="C43:C44"/>
    <mergeCell ref="A78:I78"/>
    <mergeCell ref="A36:I36"/>
    <mergeCell ref="A37:I37"/>
    <mergeCell ref="A38:I38"/>
    <mergeCell ref="A39:I39"/>
    <mergeCell ref="A77:I77"/>
    <mergeCell ref="A76:I76"/>
    <mergeCell ref="E43:E44"/>
  </mergeCells>
  <printOptions/>
  <pageMargins left="0.7" right="0.7" top="0.75" bottom="0.75" header="0.3" footer="0.3"/>
  <pageSetup fitToHeight="1" fitToWidth="1" horizontalDpi="600" verticalDpi="600" orientation="landscape" paperSize="8" scale="63" r:id="rId1"/>
  <ignoredErrors>
    <ignoredError sqref="D34"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IV42"/>
  <sheetViews>
    <sheetView showGridLines="0" zoomScale="96" zoomScaleNormal="96" zoomScalePageLayoutView="0" workbookViewId="0" topLeftCell="A1">
      <pane xSplit="2" ySplit="2" topLeftCell="AO3" activePane="bottomRight" state="frozen"/>
      <selection pane="topLeft" activeCell="A1" sqref="A1"/>
      <selection pane="topRight" activeCell="C1" sqref="C1"/>
      <selection pane="bottomLeft" activeCell="A3" sqref="A3"/>
      <selection pane="bottomRight" activeCell="BD18" sqref="BD18"/>
    </sheetView>
  </sheetViews>
  <sheetFormatPr defaultColWidth="55.421875" defaultRowHeight="12.75"/>
  <cols>
    <col min="1" max="1" width="55.421875" style="607" customWidth="1"/>
    <col min="2" max="2" width="2.57421875" style="60" customWidth="1"/>
    <col min="3" max="3" width="8.57421875" style="67" customWidth="1"/>
    <col min="4" max="4" width="0.5625" style="68" customWidth="1"/>
    <col min="5" max="8" width="7.57421875" style="68" customWidth="1"/>
    <col min="9" max="9" width="7.57421875" style="67" customWidth="1"/>
    <col min="10" max="10" width="0.5625" style="68" customWidth="1"/>
    <col min="11" max="14" width="8.57421875" style="68" customWidth="1"/>
    <col min="15" max="15" width="8.57421875" style="67" customWidth="1"/>
    <col min="16" max="16" width="0.5625" style="68" customWidth="1"/>
    <col min="17" max="20" width="7.57421875" style="68" customWidth="1"/>
    <col min="21" max="21" width="7.57421875" style="67" customWidth="1"/>
    <col min="22" max="22" width="0.5625" style="68" customWidth="1"/>
    <col min="23" max="26" width="8.421875" style="68" customWidth="1"/>
    <col min="27" max="27" width="8.421875" style="67" customWidth="1"/>
    <col min="28" max="28" width="0.5625" style="68" customWidth="1"/>
    <col min="29" max="29" width="7.57421875" style="68" customWidth="1"/>
    <col min="30" max="31" width="7.57421875" style="70" customWidth="1"/>
    <col min="32" max="32" width="8.421875" style="68" customWidth="1"/>
    <col min="33" max="33" width="8.421875" style="67" customWidth="1"/>
    <col min="34" max="34" width="0.5625" style="68" customWidth="1"/>
    <col min="35" max="35" width="8.57421875" style="70" customWidth="1"/>
    <col min="36" max="36" width="8.57421875" style="181" customWidth="1"/>
    <col min="37" max="37" width="9.421875" style="68" customWidth="1"/>
    <col min="38" max="38" width="8.421875" style="68" customWidth="1"/>
    <col min="39" max="39" width="8.421875" style="67" customWidth="1"/>
    <col min="40" max="40" width="0.5625" style="68" customWidth="1"/>
    <col min="41" max="42" width="8.140625" style="68" customWidth="1"/>
    <col min="43" max="45" width="8.421875" style="67" customWidth="1"/>
    <col min="46" max="46" width="0.5625" style="68" customWidth="1"/>
    <col min="47" max="51" width="8.421875" style="67" customWidth="1"/>
    <col min="52" max="52" width="0.5625" style="68" customWidth="1"/>
    <col min="53" max="54" width="8.421875" style="67" customWidth="1"/>
    <col min="55" max="255" width="9.421875" style="68" customWidth="1"/>
    <col min="256" max="16384" width="55.421875" style="68" customWidth="1"/>
  </cols>
  <sheetData>
    <row r="1" spans="1:55" ht="30">
      <c r="A1" s="466" t="s">
        <v>165</v>
      </c>
      <c r="B1" s="10"/>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ht="15" customHeight="1">
      <c r="A2" s="595"/>
      <c r="B2" s="331"/>
      <c r="C2" s="395">
        <v>2014</v>
      </c>
      <c r="D2"/>
      <c r="E2" s="336" t="s">
        <v>4</v>
      </c>
      <c r="F2" s="336" t="s">
        <v>5</v>
      </c>
      <c r="G2" s="336" t="s">
        <v>6</v>
      </c>
      <c r="H2" s="336" t="s">
        <v>7</v>
      </c>
      <c r="I2" s="336" t="s">
        <v>18</v>
      </c>
      <c r="J2"/>
      <c r="K2" s="336" t="s">
        <v>8</v>
      </c>
      <c r="L2" s="336" t="s">
        <v>9</v>
      </c>
      <c r="M2" s="336" t="s">
        <v>10</v>
      </c>
      <c r="N2" s="336" t="s">
        <v>11</v>
      </c>
      <c r="O2" s="336" t="s">
        <v>19</v>
      </c>
      <c r="P2"/>
      <c r="Q2" s="336" t="s">
        <v>16</v>
      </c>
      <c r="R2" s="336" t="s">
        <v>17</v>
      </c>
      <c r="S2" s="336" t="s">
        <v>20</v>
      </c>
      <c r="T2" s="336" t="s">
        <v>21</v>
      </c>
      <c r="U2" s="336">
        <v>2017</v>
      </c>
      <c r="V2"/>
      <c r="W2" s="336" t="s">
        <v>27</v>
      </c>
      <c r="X2" s="336" t="s">
        <v>29</v>
      </c>
      <c r="Y2" s="336" t="s">
        <v>32</v>
      </c>
      <c r="Z2" s="336" t="s">
        <v>35</v>
      </c>
      <c r="AA2" s="336">
        <v>2018</v>
      </c>
      <c r="AB2"/>
      <c r="AC2" s="336" t="s">
        <v>39</v>
      </c>
      <c r="AD2" s="336" t="s">
        <v>40</v>
      </c>
      <c r="AE2" s="336" t="s">
        <v>44</v>
      </c>
      <c r="AF2" s="336" t="s">
        <v>45</v>
      </c>
      <c r="AG2" s="336">
        <v>2019</v>
      </c>
      <c r="AH2"/>
      <c r="AI2" s="336" t="s">
        <v>46</v>
      </c>
      <c r="AJ2" s="368" t="s">
        <v>47</v>
      </c>
      <c r="AK2" s="368" t="s">
        <v>48</v>
      </c>
      <c r="AL2" s="336" t="s">
        <v>49</v>
      </c>
      <c r="AM2" s="336">
        <v>2020</v>
      </c>
      <c r="AN2"/>
      <c r="AO2" s="396" t="s">
        <v>51</v>
      </c>
      <c r="AP2" s="396" t="s">
        <v>54</v>
      </c>
      <c r="AQ2" s="336" t="s">
        <v>55</v>
      </c>
      <c r="AR2" s="336" t="s">
        <v>56</v>
      </c>
      <c r="AS2" s="336">
        <v>2021</v>
      </c>
      <c r="AT2"/>
      <c r="AU2" s="336" t="s">
        <v>57</v>
      </c>
      <c r="AV2" s="336" t="s">
        <v>58</v>
      </c>
      <c r="AW2" s="336" t="s">
        <v>59</v>
      </c>
      <c r="AX2" s="336" t="s">
        <v>60</v>
      </c>
      <c r="AY2" s="336">
        <v>2022</v>
      </c>
      <c r="AZ2"/>
      <c r="BA2" s="336" t="s">
        <v>62</v>
      </c>
      <c r="BB2" s="336" t="s">
        <v>63</v>
      </c>
      <c r="BC2" s="396" t="s">
        <v>64</v>
      </c>
    </row>
    <row r="3" spans="1:55" s="359" customFormat="1" ht="12" customHeight="1">
      <c r="A3" s="596" t="s">
        <v>94</v>
      </c>
      <c r="B3" s="6"/>
      <c r="C3" s="341">
        <v>3098</v>
      </c>
      <c r="E3" s="344">
        <v>577</v>
      </c>
      <c r="F3" s="340">
        <v>1116</v>
      </c>
      <c r="G3" s="340">
        <v>147</v>
      </c>
      <c r="H3" s="340">
        <v>-6962</v>
      </c>
      <c r="I3" s="340">
        <v>-5122</v>
      </c>
      <c r="K3" s="344">
        <v>343</v>
      </c>
      <c r="L3" s="340">
        <v>340</v>
      </c>
      <c r="M3" s="340">
        <v>531</v>
      </c>
      <c r="N3" s="340">
        <v>-5015</v>
      </c>
      <c r="O3" s="340">
        <v>-3801</v>
      </c>
      <c r="Q3" s="344">
        <v>1031</v>
      </c>
      <c r="R3" s="340">
        <v>618</v>
      </c>
      <c r="S3" s="340">
        <v>787</v>
      </c>
      <c r="T3" s="340">
        <v>-137</v>
      </c>
      <c r="U3" s="340">
        <v>2299</v>
      </c>
      <c r="W3" s="344">
        <v>661</v>
      </c>
      <c r="X3" s="340">
        <v>323</v>
      </c>
      <c r="Y3" s="340">
        <v>608</v>
      </c>
      <c r="Z3" s="340">
        <v>874</v>
      </c>
      <c r="AA3" s="340">
        <v>2466</v>
      </c>
      <c r="AC3" s="341">
        <v>838</v>
      </c>
      <c r="AD3" s="397">
        <v>614</v>
      </c>
      <c r="AE3" s="397">
        <v>972</v>
      </c>
      <c r="AF3" s="340">
        <v>-302</v>
      </c>
      <c r="AG3" s="340">
        <v>2122</v>
      </c>
      <c r="AI3" s="341">
        <v>929</v>
      </c>
      <c r="AJ3" s="397">
        <v>178</v>
      </c>
      <c r="AK3" s="397">
        <v>772</v>
      </c>
      <c r="AL3" s="340">
        <v>877</v>
      </c>
      <c r="AM3" s="340">
        <v>2756</v>
      </c>
      <c r="AO3" s="381">
        <v>1862</v>
      </c>
      <c r="AP3" s="397">
        <v>2767</v>
      </c>
      <c r="AQ3" s="340">
        <v>1476</v>
      </c>
      <c r="AR3" s="340">
        <v>1719</v>
      </c>
      <c r="AS3" s="340">
        <v>7824</v>
      </c>
      <c r="AT3" s="445"/>
      <c r="AU3" s="340">
        <v>2508</v>
      </c>
      <c r="AV3" s="340">
        <v>2806</v>
      </c>
      <c r="AW3" s="340">
        <v>1551</v>
      </c>
      <c r="AX3" s="340">
        <v>-376</v>
      </c>
      <c r="AY3" s="340">
        <v>6489</v>
      </c>
      <c r="AZ3" s="445"/>
      <c r="BA3" s="340">
        <v>513</v>
      </c>
      <c r="BB3" s="340">
        <v>390</v>
      </c>
      <c r="BC3" s="428">
        <v>789</v>
      </c>
    </row>
    <row r="4" spans="1:55" ht="12" customHeight="1">
      <c r="A4" s="547" t="s">
        <v>97</v>
      </c>
      <c r="B4" s="4"/>
      <c r="C4" s="341">
        <v>1635</v>
      </c>
      <c r="D4"/>
      <c r="E4" s="341">
        <v>564</v>
      </c>
      <c r="F4" s="338">
        <v>380</v>
      </c>
      <c r="G4" s="338">
        <v>530</v>
      </c>
      <c r="H4" s="338">
        <v>469</v>
      </c>
      <c r="I4" s="338">
        <v>1943</v>
      </c>
      <c r="J4"/>
      <c r="K4" s="341">
        <v>397</v>
      </c>
      <c r="L4" s="338">
        <v>413</v>
      </c>
      <c r="M4" s="338">
        <v>431</v>
      </c>
      <c r="N4" s="338">
        <v>457</v>
      </c>
      <c r="O4" s="338">
        <v>1698</v>
      </c>
      <c r="P4"/>
      <c r="Q4" s="341">
        <v>371</v>
      </c>
      <c r="R4" s="338">
        <v>401</v>
      </c>
      <c r="S4" s="338">
        <v>383</v>
      </c>
      <c r="T4" s="338">
        <v>454</v>
      </c>
      <c r="U4" s="338">
        <v>1609</v>
      </c>
      <c r="V4"/>
      <c r="W4" s="341">
        <v>350</v>
      </c>
      <c r="X4" s="338">
        <v>514</v>
      </c>
      <c r="Y4" s="338">
        <v>452</v>
      </c>
      <c r="Z4" s="338">
        <v>480</v>
      </c>
      <c r="AA4" s="338">
        <v>1796</v>
      </c>
      <c r="AB4"/>
      <c r="AC4" s="341">
        <v>453</v>
      </c>
      <c r="AD4" s="397">
        <v>468</v>
      </c>
      <c r="AE4" s="397">
        <v>437</v>
      </c>
      <c r="AF4" s="338">
        <v>562</v>
      </c>
      <c r="AG4" s="338">
        <v>1920</v>
      </c>
      <c r="AH4"/>
      <c r="AI4" s="341">
        <v>483</v>
      </c>
      <c r="AJ4" s="397">
        <v>470</v>
      </c>
      <c r="AK4" s="397">
        <v>438</v>
      </c>
      <c r="AL4" s="338">
        <v>572</v>
      </c>
      <c r="AM4" s="338">
        <v>1963</v>
      </c>
      <c r="AN4"/>
      <c r="AO4" s="381">
        <v>495</v>
      </c>
      <c r="AP4" s="397">
        <v>525</v>
      </c>
      <c r="AQ4" s="338">
        <v>578</v>
      </c>
      <c r="AR4" s="338">
        <v>525</v>
      </c>
      <c r="AS4" s="338">
        <v>2123</v>
      </c>
      <c r="AT4" s="446"/>
      <c r="AU4" s="338">
        <v>493</v>
      </c>
      <c r="AV4" s="338">
        <v>551</v>
      </c>
      <c r="AW4" s="338">
        <v>561</v>
      </c>
      <c r="AX4" s="338">
        <v>634</v>
      </c>
      <c r="AY4" s="338">
        <v>2239</v>
      </c>
      <c r="AZ4" s="446"/>
      <c r="BA4" s="338">
        <v>666</v>
      </c>
      <c r="BB4" s="338">
        <v>645</v>
      </c>
      <c r="BC4" s="428">
        <v>380</v>
      </c>
    </row>
    <row r="5" spans="1:55" ht="12" customHeight="1">
      <c r="A5" s="547" t="s">
        <v>166</v>
      </c>
      <c r="B5" s="4"/>
      <c r="C5" s="341">
        <v>252</v>
      </c>
      <c r="D5"/>
      <c r="E5" s="341">
        <v>0</v>
      </c>
      <c r="F5" s="338">
        <v>1</v>
      </c>
      <c r="G5" s="338">
        <v>312</v>
      </c>
      <c r="H5" s="338">
        <v>4144</v>
      </c>
      <c r="I5" s="338">
        <v>4457</v>
      </c>
      <c r="J5"/>
      <c r="K5" s="341">
        <v>221</v>
      </c>
      <c r="L5" s="338">
        <v>255</v>
      </c>
      <c r="M5" s="338">
        <v>351</v>
      </c>
      <c r="N5" s="338">
        <v>373</v>
      </c>
      <c r="O5" s="338">
        <v>1200</v>
      </c>
      <c r="P5"/>
      <c r="Q5" s="341">
        <v>0</v>
      </c>
      <c r="R5" s="338">
        <v>215</v>
      </c>
      <c r="S5" s="338">
        <v>0</v>
      </c>
      <c r="T5" s="338">
        <v>259</v>
      </c>
      <c r="U5" s="338">
        <v>474</v>
      </c>
      <c r="V5"/>
      <c r="W5" s="341">
        <v>0</v>
      </c>
      <c r="X5" s="338">
        <v>254</v>
      </c>
      <c r="Y5" s="338">
        <v>4</v>
      </c>
      <c r="Z5" s="338">
        <v>404</v>
      </c>
      <c r="AA5" s="338">
        <v>662</v>
      </c>
      <c r="AB5"/>
      <c r="AC5" s="341">
        <v>0</v>
      </c>
      <c r="AD5" s="397">
        <v>63</v>
      </c>
      <c r="AE5" s="397">
        <v>106</v>
      </c>
      <c r="AF5" s="338">
        <v>269</v>
      </c>
      <c r="AG5" s="338">
        <v>438</v>
      </c>
      <c r="AH5"/>
      <c r="AI5" s="341">
        <v>0</v>
      </c>
      <c r="AJ5" s="397">
        <v>210</v>
      </c>
      <c r="AK5" s="397">
        <v>-4</v>
      </c>
      <c r="AL5" s="338">
        <v>-2</v>
      </c>
      <c r="AM5" s="338">
        <v>204</v>
      </c>
      <c r="AN5"/>
      <c r="AO5" s="381">
        <v>0</v>
      </c>
      <c r="AP5" s="397">
        <v>0</v>
      </c>
      <c r="AQ5" s="338">
        <v>0</v>
      </c>
      <c r="AR5" s="338">
        <v>0</v>
      </c>
      <c r="AS5" s="338">
        <v>0</v>
      </c>
      <c r="AT5" s="446"/>
      <c r="AU5" s="338">
        <v>0</v>
      </c>
      <c r="AV5" s="338">
        <v>0</v>
      </c>
      <c r="AW5" s="338">
        <v>0</v>
      </c>
      <c r="AX5" s="338">
        <v>0</v>
      </c>
      <c r="AY5" s="338">
        <v>0</v>
      </c>
      <c r="AZ5" s="446"/>
      <c r="BA5" s="338">
        <v>0</v>
      </c>
      <c r="BB5" s="338">
        <v>0</v>
      </c>
      <c r="BC5" s="428">
        <v>0</v>
      </c>
    </row>
    <row r="6" spans="1:55" ht="12" customHeight="1">
      <c r="A6" s="597" t="s">
        <v>82</v>
      </c>
      <c r="B6" s="333"/>
      <c r="C6" s="341">
        <v>15</v>
      </c>
      <c r="D6"/>
      <c r="E6" s="341">
        <v>0</v>
      </c>
      <c r="F6" s="338">
        <v>0</v>
      </c>
      <c r="G6" s="338">
        <v>0</v>
      </c>
      <c r="H6" s="338">
        <v>671</v>
      </c>
      <c r="I6" s="338">
        <v>671</v>
      </c>
      <c r="J6"/>
      <c r="K6" s="341">
        <v>0</v>
      </c>
      <c r="L6" s="338">
        <v>0</v>
      </c>
      <c r="M6" s="338">
        <v>0</v>
      </c>
      <c r="N6" s="338">
        <v>0</v>
      </c>
      <c r="O6" s="338">
        <v>0</v>
      </c>
      <c r="P6"/>
      <c r="Q6" s="341">
        <v>0</v>
      </c>
      <c r="R6" s="338">
        <v>0</v>
      </c>
      <c r="S6" s="338">
        <v>0</v>
      </c>
      <c r="T6" s="338">
        <v>0</v>
      </c>
      <c r="U6" s="338">
        <v>0</v>
      </c>
      <c r="V6"/>
      <c r="W6" s="341">
        <v>0</v>
      </c>
      <c r="X6" s="338">
        <v>0</v>
      </c>
      <c r="Y6" s="338">
        <v>0</v>
      </c>
      <c r="Z6" s="338">
        <v>0</v>
      </c>
      <c r="AA6" s="338">
        <v>0</v>
      </c>
      <c r="AB6"/>
      <c r="AC6" s="341">
        <v>0</v>
      </c>
      <c r="AD6" s="397">
        <v>0</v>
      </c>
      <c r="AE6" s="397">
        <v>0</v>
      </c>
      <c r="AF6" s="338">
        <v>0</v>
      </c>
      <c r="AG6" s="338">
        <v>0</v>
      </c>
      <c r="AH6"/>
      <c r="AI6" s="341">
        <v>0</v>
      </c>
      <c r="AJ6" s="397">
        <v>0</v>
      </c>
      <c r="AK6" s="397">
        <v>0</v>
      </c>
      <c r="AL6" s="338">
        <v>0</v>
      </c>
      <c r="AM6" s="338">
        <v>0</v>
      </c>
      <c r="AN6"/>
      <c r="AO6" s="381">
        <v>0</v>
      </c>
      <c r="AP6" s="397">
        <v>0</v>
      </c>
      <c r="AQ6" s="338">
        <v>0</v>
      </c>
      <c r="AR6" s="338">
        <v>0</v>
      </c>
      <c r="AS6" s="338">
        <v>0</v>
      </c>
      <c r="AT6" s="446"/>
      <c r="AU6" s="338">
        <v>0</v>
      </c>
      <c r="AV6" s="338">
        <v>0</v>
      </c>
      <c r="AW6" s="338">
        <v>0</v>
      </c>
      <c r="AX6" s="338">
        <v>0</v>
      </c>
      <c r="AY6" s="338">
        <v>0</v>
      </c>
      <c r="AZ6" s="446"/>
      <c r="BA6" s="338">
        <v>0</v>
      </c>
      <c r="BB6" s="338">
        <v>0</v>
      </c>
      <c r="BC6" s="428">
        <v>0</v>
      </c>
    </row>
    <row r="7" spans="1:55" ht="24" customHeight="1">
      <c r="A7" s="512" t="s">
        <v>167</v>
      </c>
      <c r="B7" s="334"/>
      <c r="C7" s="341">
        <v>0</v>
      </c>
      <c r="D7"/>
      <c r="E7" s="341">
        <v>0</v>
      </c>
      <c r="F7" s="338">
        <v>0</v>
      </c>
      <c r="G7" s="338">
        <v>0</v>
      </c>
      <c r="H7" s="338">
        <v>0</v>
      </c>
      <c r="I7" s="338">
        <v>0</v>
      </c>
      <c r="J7"/>
      <c r="K7" s="341">
        <v>0</v>
      </c>
      <c r="L7" s="338">
        <v>0</v>
      </c>
      <c r="M7" s="338">
        <v>0</v>
      </c>
      <c r="N7" s="338">
        <v>4394</v>
      </c>
      <c r="O7" s="338">
        <v>4394</v>
      </c>
      <c r="P7"/>
      <c r="Q7" s="341">
        <v>0</v>
      </c>
      <c r="R7" s="338">
        <v>0</v>
      </c>
      <c r="S7" s="338">
        <v>0</v>
      </c>
      <c r="T7" s="338">
        <v>0</v>
      </c>
      <c r="U7" s="338">
        <v>0</v>
      </c>
      <c r="V7"/>
      <c r="W7" s="341">
        <v>0</v>
      </c>
      <c r="X7" s="338">
        <v>0</v>
      </c>
      <c r="Y7" s="338">
        <v>0</v>
      </c>
      <c r="Z7" s="338">
        <v>-733</v>
      </c>
      <c r="AA7" s="338">
        <v>-733</v>
      </c>
      <c r="AB7"/>
      <c r="AC7" s="341">
        <v>0</v>
      </c>
      <c r="AD7" s="397">
        <v>0</v>
      </c>
      <c r="AE7" s="397">
        <v>0</v>
      </c>
      <c r="AF7" s="338">
        <v>-106</v>
      </c>
      <c r="AG7" s="338">
        <v>-106</v>
      </c>
      <c r="AH7"/>
      <c r="AI7" s="341">
        <v>0</v>
      </c>
      <c r="AJ7" s="397">
        <v>0</v>
      </c>
      <c r="AK7" s="397">
        <v>0</v>
      </c>
      <c r="AL7" s="338">
        <v>-74</v>
      </c>
      <c r="AM7" s="338">
        <v>-74</v>
      </c>
      <c r="AN7"/>
      <c r="AO7" s="381">
        <v>0</v>
      </c>
      <c r="AP7" s="397">
        <v>-1665</v>
      </c>
      <c r="AQ7" s="338">
        <v>10</v>
      </c>
      <c r="AR7" s="338">
        <v>-725</v>
      </c>
      <c r="AS7" s="338">
        <v>-2380</v>
      </c>
      <c r="AT7" s="446"/>
      <c r="AU7" s="338">
        <v>-64</v>
      </c>
      <c r="AV7" s="338">
        <v>-719</v>
      </c>
      <c r="AW7" s="338">
        <v>0</v>
      </c>
      <c r="AX7" s="338">
        <v>-90</v>
      </c>
      <c r="AY7" s="338">
        <v>-873</v>
      </c>
      <c r="AZ7" s="446"/>
      <c r="BA7" s="338">
        <v>0</v>
      </c>
      <c r="BB7" s="338">
        <v>-482</v>
      </c>
      <c r="BC7" s="428">
        <v>-11</v>
      </c>
    </row>
    <row r="8" spans="1:55" ht="12" customHeight="1">
      <c r="A8" s="547" t="s">
        <v>168</v>
      </c>
      <c r="B8" s="4"/>
      <c r="C8" s="341">
        <v>-282</v>
      </c>
      <c r="D8"/>
      <c r="E8" s="341">
        <v>-82</v>
      </c>
      <c r="F8" s="338">
        <v>-95</v>
      </c>
      <c r="G8" s="338">
        <v>-142</v>
      </c>
      <c r="H8" s="338">
        <v>-147</v>
      </c>
      <c r="I8" s="338">
        <v>-466</v>
      </c>
      <c r="J8"/>
      <c r="K8" s="341">
        <v>-153</v>
      </c>
      <c r="L8" s="338">
        <v>-153</v>
      </c>
      <c r="M8" s="338">
        <v>-159</v>
      </c>
      <c r="N8" s="338">
        <v>-168</v>
      </c>
      <c r="O8" s="338">
        <v>-633</v>
      </c>
      <c r="P8"/>
      <c r="Q8" s="341">
        <v>-82</v>
      </c>
      <c r="R8" s="338">
        <v>-79</v>
      </c>
      <c r="S8" s="338">
        <v>-79</v>
      </c>
      <c r="T8" s="338">
        <v>-79</v>
      </c>
      <c r="U8" s="338">
        <v>-319</v>
      </c>
      <c r="V8"/>
      <c r="W8" s="341">
        <v>-81</v>
      </c>
      <c r="X8" s="338">
        <v>-45</v>
      </c>
      <c r="Y8" s="338">
        <v>-66</v>
      </c>
      <c r="Z8" s="338">
        <v>-65</v>
      </c>
      <c r="AA8" s="338">
        <v>-257</v>
      </c>
      <c r="AB8"/>
      <c r="AC8" s="341">
        <v>-82</v>
      </c>
      <c r="AD8" s="397">
        <v>-84</v>
      </c>
      <c r="AE8" s="397">
        <v>-89</v>
      </c>
      <c r="AF8" s="338">
        <v>-86</v>
      </c>
      <c r="AG8" s="338">
        <v>-341</v>
      </c>
      <c r="AH8"/>
      <c r="AI8" s="341">
        <v>-96</v>
      </c>
      <c r="AJ8" s="397">
        <v>-97</v>
      </c>
      <c r="AK8" s="397">
        <v>-91</v>
      </c>
      <c r="AL8" s="338">
        <v>-93</v>
      </c>
      <c r="AM8" s="338">
        <v>-377</v>
      </c>
      <c r="AN8"/>
      <c r="AO8" s="381">
        <v>-97</v>
      </c>
      <c r="AP8" s="397">
        <v>-97</v>
      </c>
      <c r="AQ8" s="338">
        <v>-128</v>
      </c>
      <c r="AR8" s="338">
        <v>-172</v>
      </c>
      <c r="AS8" s="338">
        <v>-494</v>
      </c>
      <c r="AT8" s="446"/>
      <c r="AU8" s="338">
        <v>-183</v>
      </c>
      <c r="AV8" s="338">
        <v>-136</v>
      </c>
      <c r="AW8" s="338">
        <v>-158</v>
      </c>
      <c r="AX8" s="338">
        <v>-105</v>
      </c>
      <c r="AY8" s="338">
        <v>-582</v>
      </c>
      <c r="AZ8" s="446"/>
      <c r="BA8" s="338">
        <v>-147</v>
      </c>
      <c r="BB8" s="338">
        <v>-145</v>
      </c>
      <c r="BC8" s="428">
        <v>-154</v>
      </c>
    </row>
    <row r="9" spans="1:55" ht="12" customHeight="1">
      <c r="A9" s="547" t="s">
        <v>169</v>
      </c>
      <c r="B9" s="4"/>
      <c r="C9" s="341">
        <v>142</v>
      </c>
      <c r="D9"/>
      <c r="E9" s="341">
        <v>53</v>
      </c>
      <c r="F9" s="338">
        <v>88</v>
      </c>
      <c r="G9" s="338">
        <v>31</v>
      </c>
      <c r="H9" s="338">
        <v>29</v>
      </c>
      <c r="I9" s="338">
        <v>201</v>
      </c>
      <c r="J9"/>
      <c r="K9" s="341">
        <v>29</v>
      </c>
      <c r="L9" s="338">
        <v>30</v>
      </c>
      <c r="M9" s="338">
        <v>44</v>
      </c>
      <c r="N9" s="338">
        <v>49</v>
      </c>
      <c r="O9" s="338">
        <v>152</v>
      </c>
      <c r="P9"/>
      <c r="Q9" s="341">
        <v>44</v>
      </c>
      <c r="R9" s="338">
        <v>34</v>
      </c>
      <c r="S9" s="338">
        <v>35</v>
      </c>
      <c r="T9" s="338">
        <v>35</v>
      </c>
      <c r="U9" s="338">
        <v>148</v>
      </c>
      <c r="V9"/>
      <c r="W9" s="341">
        <v>34</v>
      </c>
      <c r="X9" s="338">
        <v>36</v>
      </c>
      <c r="Y9" s="338">
        <v>52</v>
      </c>
      <c r="Z9" s="338">
        <v>-13</v>
      </c>
      <c r="AA9" s="338">
        <v>109</v>
      </c>
      <c r="AB9"/>
      <c r="AC9" s="341">
        <v>47</v>
      </c>
      <c r="AD9" s="397">
        <v>52</v>
      </c>
      <c r="AE9" s="397">
        <v>7</v>
      </c>
      <c r="AF9" s="338">
        <v>138</v>
      </c>
      <c r="AG9" s="338">
        <v>244</v>
      </c>
      <c r="AH9"/>
      <c r="AI9" s="341">
        <v>51</v>
      </c>
      <c r="AJ9" s="397">
        <v>62</v>
      </c>
      <c r="AK9" s="397">
        <v>7</v>
      </c>
      <c r="AL9" s="338">
        <v>39</v>
      </c>
      <c r="AM9" s="338">
        <v>159</v>
      </c>
      <c r="AN9"/>
      <c r="AO9" s="381">
        <v>29</v>
      </c>
      <c r="AP9" s="397">
        <v>33</v>
      </c>
      <c r="AQ9" s="338">
        <v>23</v>
      </c>
      <c r="AR9" s="338">
        <v>35</v>
      </c>
      <c r="AS9" s="338">
        <v>120</v>
      </c>
      <c r="AT9" s="446"/>
      <c r="AU9" s="338">
        <v>24</v>
      </c>
      <c r="AV9" s="338">
        <v>3</v>
      </c>
      <c r="AW9" s="338">
        <v>11</v>
      </c>
      <c r="AX9" s="338">
        <v>-8</v>
      </c>
      <c r="AY9" s="338">
        <v>30</v>
      </c>
      <c r="AZ9" s="446"/>
      <c r="BA9" s="338">
        <v>10</v>
      </c>
      <c r="BB9" s="338">
        <v>-18</v>
      </c>
      <c r="BC9" s="428">
        <v>60</v>
      </c>
    </row>
    <row r="10" spans="1:55" ht="12" customHeight="1">
      <c r="A10" s="509" t="s">
        <v>170</v>
      </c>
      <c r="B10" s="5"/>
      <c r="C10" s="341">
        <v>66</v>
      </c>
      <c r="D10"/>
      <c r="E10" s="341">
        <v>0</v>
      </c>
      <c r="F10" s="338">
        <v>3</v>
      </c>
      <c r="G10" s="338">
        <v>211</v>
      </c>
      <c r="H10" s="338">
        <v>2756</v>
      </c>
      <c r="I10" s="338">
        <v>2970</v>
      </c>
      <c r="J10"/>
      <c r="K10" s="341">
        <v>57</v>
      </c>
      <c r="L10" s="338">
        <v>9</v>
      </c>
      <c r="M10" s="338">
        <v>5</v>
      </c>
      <c r="N10" s="338">
        <v>1461</v>
      </c>
      <c r="O10" s="338">
        <v>1532</v>
      </c>
      <c r="P10"/>
      <c r="Q10" s="341">
        <v>0</v>
      </c>
      <c r="R10" s="338">
        <v>1</v>
      </c>
      <c r="S10" s="338">
        <v>0</v>
      </c>
      <c r="T10" s="338">
        <v>502</v>
      </c>
      <c r="U10" s="338">
        <v>503</v>
      </c>
      <c r="V10"/>
      <c r="W10" s="341">
        <v>10</v>
      </c>
      <c r="X10" s="338">
        <v>4</v>
      </c>
      <c r="Y10" s="338">
        <v>0</v>
      </c>
      <c r="Z10" s="338">
        <v>55</v>
      </c>
      <c r="AA10" s="338">
        <v>69</v>
      </c>
      <c r="AB10"/>
      <c r="AC10" s="341">
        <v>0</v>
      </c>
      <c r="AD10" s="397">
        <v>0</v>
      </c>
      <c r="AE10" s="397">
        <v>0</v>
      </c>
      <c r="AF10" s="338">
        <v>51</v>
      </c>
      <c r="AG10" s="338">
        <v>51</v>
      </c>
      <c r="AH10"/>
      <c r="AI10" s="341">
        <v>27</v>
      </c>
      <c r="AJ10" s="397">
        <v>65</v>
      </c>
      <c r="AK10" s="397">
        <v>2</v>
      </c>
      <c r="AL10" s="338">
        <v>145</v>
      </c>
      <c r="AM10" s="338">
        <v>239</v>
      </c>
      <c r="AN10"/>
      <c r="AO10" s="381">
        <v>0</v>
      </c>
      <c r="AP10" s="397">
        <v>0</v>
      </c>
      <c r="AQ10" s="338">
        <v>-15</v>
      </c>
      <c r="AR10" s="338">
        <v>349</v>
      </c>
      <c r="AS10" s="338">
        <v>334</v>
      </c>
      <c r="AT10" s="446"/>
      <c r="AU10" s="338">
        <v>0</v>
      </c>
      <c r="AV10" s="338">
        <v>54</v>
      </c>
      <c r="AW10" s="338">
        <v>-1</v>
      </c>
      <c r="AX10" s="338">
        <v>94</v>
      </c>
      <c r="AY10" s="338">
        <v>147</v>
      </c>
      <c r="AZ10" s="446"/>
      <c r="BA10" s="338">
        <v>8</v>
      </c>
      <c r="BB10" s="338">
        <v>-29</v>
      </c>
      <c r="BC10" s="428">
        <v>-1</v>
      </c>
    </row>
    <row r="11" spans="1:55" ht="12" customHeight="1">
      <c r="A11" s="547" t="s">
        <v>171</v>
      </c>
      <c r="B11" s="4"/>
      <c r="C11" s="341">
        <v>272</v>
      </c>
      <c r="D11"/>
      <c r="E11" s="341">
        <v>240</v>
      </c>
      <c r="F11" s="338">
        <v>-446</v>
      </c>
      <c r="G11" s="338">
        <v>91</v>
      </c>
      <c r="H11" s="338">
        <v>-17</v>
      </c>
      <c r="I11" s="338">
        <v>-132</v>
      </c>
      <c r="J11"/>
      <c r="K11" s="341">
        <v>-254</v>
      </c>
      <c r="L11" s="338">
        <v>163</v>
      </c>
      <c r="M11" s="338">
        <v>-96</v>
      </c>
      <c r="N11" s="338">
        <v>-18</v>
      </c>
      <c r="O11" s="338">
        <v>-205</v>
      </c>
      <c r="P11"/>
      <c r="Q11" s="341">
        <v>7</v>
      </c>
      <c r="R11" s="338">
        <v>-129</v>
      </c>
      <c r="S11" s="338">
        <v>144</v>
      </c>
      <c r="T11" s="338">
        <v>297</v>
      </c>
      <c r="U11" s="338">
        <v>319</v>
      </c>
      <c r="V11"/>
      <c r="W11" s="341">
        <v>84</v>
      </c>
      <c r="X11" s="338">
        <v>13</v>
      </c>
      <c r="Y11" s="338">
        <v>19</v>
      </c>
      <c r="Z11" s="338">
        <v>33</v>
      </c>
      <c r="AA11" s="338">
        <v>149</v>
      </c>
      <c r="AB11"/>
      <c r="AC11" s="341">
        <v>-137</v>
      </c>
      <c r="AD11" s="397">
        <v>-216</v>
      </c>
      <c r="AE11" s="397">
        <v>-180</v>
      </c>
      <c r="AF11" s="338">
        <v>540</v>
      </c>
      <c r="AG11" s="338">
        <v>7</v>
      </c>
      <c r="AH11"/>
      <c r="AI11" s="341">
        <v>-583</v>
      </c>
      <c r="AJ11" s="397">
        <v>186</v>
      </c>
      <c r="AK11" s="397">
        <v>170</v>
      </c>
      <c r="AL11" s="338">
        <v>508</v>
      </c>
      <c r="AM11" s="338">
        <v>281</v>
      </c>
      <c r="AN11"/>
      <c r="AO11" s="381">
        <v>-102</v>
      </c>
      <c r="AP11" s="397">
        <v>657</v>
      </c>
      <c r="AQ11" s="338">
        <v>-247</v>
      </c>
      <c r="AR11" s="338">
        <v>-62</v>
      </c>
      <c r="AS11" s="338">
        <v>246</v>
      </c>
      <c r="AT11" s="446"/>
      <c r="AU11" s="338">
        <v>-225</v>
      </c>
      <c r="AV11" s="338">
        <v>-792</v>
      </c>
      <c r="AW11" s="338">
        <v>-1119</v>
      </c>
      <c r="AX11" s="338">
        <v>1163</v>
      </c>
      <c r="AY11" s="338">
        <v>-973</v>
      </c>
      <c r="AZ11" s="446"/>
      <c r="BA11" s="338">
        <v>399</v>
      </c>
      <c r="BB11" s="338">
        <v>974</v>
      </c>
      <c r="BC11" s="428">
        <v>-589</v>
      </c>
    </row>
    <row r="12" spans="1:55" s="359" customFormat="1" ht="12" customHeight="1">
      <c r="A12" s="596" t="s">
        <v>172</v>
      </c>
      <c r="B12" s="6"/>
      <c r="C12" s="341">
        <v>2100</v>
      </c>
      <c r="E12" s="341">
        <v>775</v>
      </c>
      <c r="F12" s="338">
        <v>-69</v>
      </c>
      <c r="G12" s="338">
        <v>1033</v>
      </c>
      <c r="H12" s="338">
        <v>7905</v>
      </c>
      <c r="I12" s="338">
        <v>9644</v>
      </c>
      <c r="K12" s="341">
        <v>297</v>
      </c>
      <c r="L12" s="338">
        <v>717</v>
      </c>
      <c r="M12" s="338">
        <v>576</v>
      </c>
      <c r="N12" s="338">
        <v>6548</v>
      </c>
      <c r="O12" s="338">
        <v>8138</v>
      </c>
      <c r="Q12" s="341">
        <v>340</v>
      </c>
      <c r="R12" s="338">
        <v>443</v>
      </c>
      <c r="S12" s="338">
        <v>483</v>
      </c>
      <c r="T12" s="338">
        <v>1468</v>
      </c>
      <c r="U12" s="338">
        <v>2734</v>
      </c>
      <c r="W12" s="341">
        <v>397</v>
      </c>
      <c r="X12" s="338">
        <v>776</v>
      </c>
      <c r="Y12" s="338">
        <v>461</v>
      </c>
      <c r="Z12" s="338">
        <v>161</v>
      </c>
      <c r="AA12" s="338">
        <v>1795</v>
      </c>
      <c r="AC12" s="341">
        <v>281</v>
      </c>
      <c r="AD12" s="397">
        <v>283</v>
      </c>
      <c r="AE12" s="397">
        <v>281</v>
      </c>
      <c r="AF12" s="338">
        <v>1368</v>
      </c>
      <c r="AG12" s="338">
        <v>2213</v>
      </c>
      <c r="AI12" s="341">
        <v>-118</v>
      </c>
      <c r="AJ12" s="397">
        <v>896</v>
      </c>
      <c r="AK12" s="397">
        <v>522</v>
      </c>
      <c r="AL12" s="338">
        <v>1095</v>
      </c>
      <c r="AM12" s="338">
        <v>2395</v>
      </c>
      <c r="AO12" s="381">
        <v>325</v>
      </c>
      <c r="AP12" s="397">
        <v>-537</v>
      </c>
      <c r="AQ12" s="338">
        <v>211</v>
      </c>
      <c r="AR12" s="338">
        <v>-50</v>
      </c>
      <c r="AS12" s="338">
        <v>-51</v>
      </c>
      <c r="AT12" s="445"/>
      <c r="AU12" s="338">
        <v>45</v>
      </c>
      <c r="AV12" s="338">
        <v>-1039</v>
      </c>
      <c r="AW12" s="338">
        <v>-706</v>
      </c>
      <c r="AX12" s="338">
        <v>1688</v>
      </c>
      <c r="AY12" s="338">
        <v>-12</v>
      </c>
      <c r="AZ12" s="445"/>
      <c r="BA12" s="338">
        <v>936</v>
      </c>
      <c r="BB12" s="338">
        <v>945</v>
      </c>
      <c r="BC12" s="428">
        <v>-315</v>
      </c>
    </row>
    <row r="13" spans="1:55" ht="12" customHeight="1">
      <c r="A13" s="598" t="s">
        <v>173</v>
      </c>
      <c r="B13" s="6"/>
      <c r="C13" s="341">
        <v>-868</v>
      </c>
      <c r="D13"/>
      <c r="E13" s="341">
        <v>-237</v>
      </c>
      <c r="F13" s="338">
        <v>-219</v>
      </c>
      <c r="G13" s="338">
        <v>-235</v>
      </c>
      <c r="H13" s="338">
        <v>-234</v>
      </c>
      <c r="I13" s="338">
        <v>-925</v>
      </c>
      <c r="J13"/>
      <c r="K13" s="341">
        <v>-62</v>
      </c>
      <c r="L13" s="338">
        <v>-65</v>
      </c>
      <c r="M13" s="338">
        <v>-208</v>
      </c>
      <c r="N13" s="338">
        <v>-116</v>
      </c>
      <c r="O13" s="338">
        <v>-451</v>
      </c>
      <c r="P13"/>
      <c r="Q13" s="341">
        <v>-416</v>
      </c>
      <c r="R13" s="338">
        <v>-287</v>
      </c>
      <c r="S13" s="338">
        <v>-115</v>
      </c>
      <c r="T13" s="338">
        <v>-165</v>
      </c>
      <c r="U13" s="338">
        <v>-983</v>
      </c>
      <c r="V13"/>
      <c r="W13" s="341">
        <v>-167</v>
      </c>
      <c r="X13" s="338">
        <v>-246</v>
      </c>
      <c r="Y13" s="338">
        <v>-194</v>
      </c>
      <c r="Z13" s="338">
        <v>-195</v>
      </c>
      <c r="AA13" s="338">
        <v>-802</v>
      </c>
      <c r="AB13"/>
      <c r="AC13" s="341">
        <v>-66</v>
      </c>
      <c r="AD13" s="397">
        <v>-191</v>
      </c>
      <c r="AE13" s="397">
        <v>-77</v>
      </c>
      <c r="AF13" s="338">
        <v>-76</v>
      </c>
      <c r="AG13" s="338">
        <v>-410</v>
      </c>
      <c r="AH13"/>
      <c r="AI13" s="341">
        <v>-190</v>
      </c>
      <c r="AJ13" s="397">
        <v>-196</v>
      </c>
      <c r="AK13" s="397">
        <v>-58</v>
      </c>
      <c r="AL13" s="338">
        <v>-223</v>
      </c>
      <c r="AM13" s="338">
        <v>-667</v>
      </c>
      <c r="AN13"/>
      <c r="AO13" s="381">
        <v>-200</v>
      </c>
      <c r="AP13" s="397">
        <v>-190</v>
      </c>
      <c r="AQ13" s="338">
        <v>-179</v>
      </c>
      <c r="AR13" s="338">
        <v>-171</v>
      </c>
      <c r="AS13" s="338">
        <v>-740</v>
      </c>
      <c r="AT13" s="446"/>
      <c r="AU13" s="338">
        <v>-181</v>
      </c>
      <c r="AV13" s="338">
        <v>-1118</v>
      </c>
      <c r="AW13" s="338">
        <v>-192</v>
      </c>
      <c r="AX13" s="338">
        <v>-205</v>
      </c>
      <c r="AY13" s="338">
        <v>-1696</v>
      </c>
      <c r="AZ13" s="446"/>
      <c r="BA13" s="338">
        <v>-248</v>
      </c>
      <c r="BB13" s="338">
        <v>-834</v>
      </c>
      <c r="BC13" s="428">
        <v>-242</v>
      </c>
    </row>
    <row r="14" spans="1:55" ht="12" customHeight="1">
      <c r="A14" s="598" t="s">
        <v>174</v>
      </c>
      <c r="B14" s="6"/>
      <c r="C14" s="341">
        <v>519</v>
      </c>
      <c r="D14"/>
      <c r="E14" s="341">
        <v>93</v>
      </c>
      <c r="F14" s="338">
        <v>393</v>
      </c>
      <c r="G14" s="338">
        <v>19</v>
      </c>
      <c r="H14" s="338">
        <v>61</v>
      </c>
      <c r="I14" s="338">
        <v>566</v>
      </c>
      <c r="J14"/>
      <c r="K14" s="341">
        <v>6</v>
      </c>
      <c r="L14" s="338">
        <v>-245</v>
      </c>
      <c r="M14" s="338">
        <v>50</v>
      </c>
      <c r="N14" s="338">
        <v>515</v>
      </c>
      <c r="O14" s="338">
        <v>326</v>
      </c>
      <c r="P14"/>
      <c r="Q14" s="341">
        <v>-497</v>
      </c>
      <c r="R14" s="338">
        <v>-40</v>
      </c>
      <c r="S14" s="338">
        <v>-609</v>
      </c>
      <c r="T14" s="338">
        <v>150</v>
      </c>
      <c r="U14" s="338">
        <v>-996</v>
      </c>
      <c r="V14"/>
      <c r="W14" s="341">
        <v>-902</v>
      </c>
      <c r="X14" s="338">
        <v>-138</v>
      </c>
      <c r="Y14" s="338">
        <v>243</v>
      </c>
      <c r="Z14" s="338">
        <v>1164</v>
      </c>
      <c r="AA14" s="338">
        <v>367</v>
      </c>
      <c r="AB14"/>
      <c r="AC14" s="341">
        <v>-518</v>
      </c>
      <c r="AD14" s="397">
        <v>373</v>
      </c>
      <c r="AE14" s="397">
        <v>-299</v>
      </c>
      <c r="AF14" s="338">
        <v>1567</v>
      </c>
      <c r="AG14" s="338">
        <v>1123</v>
      </c>
      <c r="AH14"/>
      <c r="AI14" s="341">
        <v>330</v>
      </c>
      <c r="AJ14" s="397">
        <v>102</v>
      </c>
      <c r="AK14" s="397">
        <v>87</v>
      </c>
      <c r="AL14" s="338">
        <v>653</v>
      </c>
      <c r="AM14" s="338">
        <v>1172</v>
      </c>
      <c r="AN14"/>
      <c r="AO14" s="381">
        <v>-1060</v>
      </c>
      <c r="AP14" s="397">
        <v>-650</v>
      </c>
      <c r="AQ14" s="338">
        <v>-1159</v>
      </c>
      <c r="AR14" s="338">
        <v>102</v>
      </c>
      <c r="AS14" s="338">
        <v>-2767</v>
      </c>
      <c r="AT14" s="446"/>
      <c r="AU14" s="338">
        <v>-647</v>
      </c>
      <c r="AV14" s="338">
        <v>-784</v>
      </c>
      <c r="AW14" s="338">
        <v>-85</v>
      </c>
      <c r="AX14" s="338">
        <v>-801</v>
      </c>
      <c r="AY14" s="338">
        <v>-2317</v>
      </c>
      <c r="AZ14" s="446"/>
      <c r="BA14" s="338">
        <v>279</v>
      </c>
      <c r="BB14" s="338">
        <v>949</v>
      </c>
      <c r="BC14" s="428">
        <v>480</v>
      </c>
    </row>
    <row r="15" spans="1:55" ht="12" customHeight="1">
      <c r="A15" s="599" t="s">
        <v>175</v>
      </c>
      <c r="B15" s="335"/>
      <c r="C15" s="339">
        <v>4849</v>
      </c>
      <c r="D15"/>
      <c r="E15" s="339">
        <v>1208</v>
      </c>
      <c r="F15" s="337">
        <v>1221</v>
      </c>
      <c r="G15" s="337">
        <v>964</v>
      </c>
      <c r="H15" s="337">
        <v>770</v>
      </c>
      <c r="I15" s="337">
        <v>4163</v>
      </c>
      <c r="J15"/>
      <c r="K15" s="339">
        <v>584</v>
      </c>
      <c r="L15" s="337">
        <v>747</v>
      </c>
      <c r="M15" s="337">
        <v>949</v>
      </c>
      <c r="N15" s="337">
        <v>1932</v>
      </c>
      <c r="O15" s="337">
        <v>4212</v>
      </c>
      <c r="P15"/>
      <c r="Q15" s="339">
        <v>458</v>
      </c>
      <c r="R15" s="337">
        <v>734</v>
      </c>
      <c r="S15" s="337">
        <v>546</v>
      </c>
      <c r="T15" s="337">
        <v>1316</v>
      </c>
      <c r="U15" s="337">
        <v>3054</v>
      </c>
      <c r="V15"/>
      <c r="W15" s="339">
        <v>-11</v>
      </c>
      <c r="X15" s="337">
        <v>715</v>
      </c>
      <c r="Y15" s="337">
        <v>1118</v>
      </c>
      <c r="Z15" s="337">
        <v>2004</v>
      </c>
      <c r="AA15" s="337">
        <v>3826</v>
      </c>
      <c r="AB15"/>
      <c r="AC15" s="339">
        <v>535</v>
      </c>
      <c r="AD15" s="356">
        <v>1079</v>
      </c>
      <c r="AE15" s="356">
        <v>877</v>
      </c>
      <c r="AF15" s="337">
        <v>2557</v>
      </c>
      <c r="AG15" s="337">
        <v>5048</v>
      </c>
      <c r="AH15"/>
      <c r="AI15" s="339">
        <v>951</v>
      </c>
      <c r="AJ15" s="356">
        <v>980</v>
      </c>
      <c r="AK15" s="356">
        <v>1323</v>
      </c>
      <c r="AL15" s="337">
        <v>2402</v>
      </c>
      <c r="AM15" s="337">
        <v>5656</v>
      </c>
      <c r="AN15"/>
      <c r="AO15" s="382">
        <v>927</v>
      </c>
      <c r="AP15" s="356">
        <v>1390</v>
      </c>
      <c r="AQ15" s="337">
        <v>349</v>
      </c>
      <c r="AR15" s="337">
        <v>1600</v>
      </c>
      <c r="AS15" s="337">
        <v>4266</v>
      </c>
      <c r="AT15" s="446"/>
      <c r="AU15" s="337">
        <v>1725</v>
      </c>
      <c r="AV15" s="337">
        <v>-135</v>
      </c>
      <c r="AW15" s="337">
        <v>568</v>
      </c>
      <c r="AX15" s="337">
        <v>306</v>
      </c>
      <c r="AY15" s="337">
        <v>2464</v>
      </c>
      <c r="AZ15" s="446"/>
      <c r="BA15" s="337">
        <f>BA3+BA12+BA13+BA14</f>
        <v>1480</v>
      </c>
      <c r="BB15" s="337">
        <v>1450</v>
      </c>
      <c r="BC15" s="427">
        <v>712</v>
      </c>
    </row>
    <row r="16" spans="1:55" ht="12" customHeight="1">
      <c r="A16" s="600"/>
      <c r="B16" s="3"/>
      <c r="C16" s="343"/>
      <c r="D16" s="60"/>
      <c r="E16" s="343"/>
      <c r="F16" s="342"/>
      <c r="G16" s="342"/>
      <c r="H16" s="342"/>
      <c r="I16" s="342"/>
      <c r="J16" s="60"/>
      <c r="K16" s="343"/>
      <c r="L16" s="342"/>
      <c r="M16" s="342"/>
      <c r="N16" s="342"/>
      <c r="O16" s="342"/>
      <c r="P16" s="60"/>
      <c r="Q16" s="343"/>
      <c r="R16" s="342"/>
      <c r="S16" s="342"/>
      <c r="T16" s="342"/>
      <c r="U16" s="342"/>
      <c r="V16" s="60"/>
      <c r="W16" s="343"/>
      <c r="X16" s="342"/>
      <c r="Y16" s="342"/>
      <c r="Z16" s="342"/>
      <c r="AA16" s="342"/>
      <c r="AB16" s="60"/>
      <c r="AC16" s="343"/>
      <c r="AD16" s="353"/>
      <c r="AE16" s="362"/>
      <c r="AF16" s="342"/>
      <c r="AG16" s="342"/>
      <c r="AH16" s="60"/>
      <c r="AI16" s="343"/>
      <c r="AJ16" s="399"/>
      <c r="AK16" s="399"/>
      <c r="AL16" s="342"/>
      <c r="AM16" s="342"/>
      <c r="AN16" s="370"/>
      <c r="AO16" s="399"/>
      <c r="AP16" s="399"/>
      <c r="AQ16" s="342"/>
      <c r="AR16" s="342"/>
      <c r="AS16" s="342"/>
      <c r="AT16" s="447"/>
      <c r="AU16" s="342"/>
      <c r="AV16" s="342"/>
      <c r="AW16" s="342"/>
      <c r="AX16" s="342"/>
      <c r="AY16" s="342"/>
      <c r="AZ16" s="447"/>
      <c r="BA16" s="342"/>
      <c r="BB16" s="342"/>
      <c r="BC16" s="419"/>
    </row>
    <row r="17" spans="1:256" ht="12" customHeight="1">
      <c r="A17" s="547" t="s">
        <v>176</v>
      </c>
      <c r="B17" s="4"/>
      <c r="C17" s="344">
        <v>-3112</v>
      </c>
      <c r="D17"/>
      <c r="E17" s="344">
        <v>-801</v>
      </c>
      <c r="F17" s="340">
        <v>-803</v>
      </c>
      <c r="G17" s="340">
        <v>-897</v>
      </c>
      <c r="H17" s="340">
        <v>-1052</v>
      </c>
      <c r="I17" s="340">
        <v>-3553</v>
      </c>
      <c r="J17"/>
      <c r="K17" s="344">
        <v>-878</v>
      </c>
      <c r="L17" s="340">
        <v>-802</v>
      </c>
      <c r="M17" s="340">
        <v>-640</v>
      </c>
      <c r="N17" s="340">
        <v>-712</v>
      </c>
      <c r="O17" s="340">
        <v>-3032</v>
      </c>
      <c r="P17"/>
      <c r="Q17" s="344">
        <v>-562</v>
      </c>
      <c r="R17" s="340">
        <v>-549</v>
      </c>
      <c r="S17" s="340">
        <v>-532</v>
      </c>
      <c r="T17" s="340">
        <v>-884</v>
      </c>
      <c r="U17" s="340">
        <v>-2527</v>
      </c>
      <c r="V17"/>
      <c r="W17" s="344">
        <v>-601</v>
      </c>
      <c r="X17" s="340">
        <v>-552</v>
      </c>
      <c r="Y17" s="340">
        <v>-591</v>
      </c>
      <c r="Z17" s="340">
        <v>-865</v>
      </c>
      <c r="AA17" s="340">
        <v>-2609</v>
      </c>
      <c r="AB17"/>
      <c r="AC17" s="344">
        <v>-725</v>
      </c>
      <c r="AD17" s="398">
        <v>-691</v>
      </c>
      <c r="AE17" s="398">
        <v>-649</v>
      </c>
      <c r="AF17" s="340">
        <v>-807</v>
      </c>
      <c r="AG17" s="340">
        <v>-2872</v>
      </c>
      <c r="AH17"/>
      <c r="AI17" s="344">
        <v>-823</v>
      </c>
      <c r="AJ17" s="398">
        <v>-566</v>
      </c>
      <c r="AK17" s="398">
        <v>-810</v>
      </c>
      <c r="AL17" s="340">
        <v>-861</v>
      </c>
      <c r="AM17" s="340">
        <v>-3060</v>
      </c>
      <c r="AN17"/>
      <c r="AO17" s="373">
        <v>-678</v>
      </c>
      <c r="AP17" s="340">
        <v>-784</v>
      </c>
      <c r="AQ17" s="340">
        <v>-782</v>
      </c>
      <c r="AR17" s="340">
        <v>-1139</v>
      </c>
      <c r="AS17" s="340">
        <v>-3383</v>
      </c>
      <c r="AT17" s="446"/>
      <c r="AU17" s="340">
        <v>-936</v>
      </c>
      <c r="AV17" s="340">
        <v>-815</v>
      </c>
      <c r="AW17" s="340">
        <v>-871</v>
      </c>
      <c r="AX17" s="340">
        <v>-1056</v>
      </c>
      <c r="AY17" s="340">
        <v>-3678</v>
      </c>
      <c r="AZ17" s="446"/>
      <c r="BA17" s="340">
        <v>-988</v>
      </c>
      <c r="BB17" s="340">
        <v>-796</v>
      </c>
      <c r="BC17" s="420">
        <v>-869</v>
      </c>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547" t="s">
        <v>177</v>
      </c>
      <c r="B18" s="4"/>
      <c r="C18" s="341">
        <v>-322</v>
      </c>
      <c r="D18"/>
      <c r="E18" s="341">
        <v>-89</v>
      </c>
      <c r="F18" s="338">
        <v>-54</v>
      </c>
      <c r="G18" s="338">
        <v>-77</v>
      </c>
      <c r="H18" s="338">
        <v>-166</v>
      </c>
      <c r="I18" s="338">
        <v>-386</v>
      </c>
      <c r="J18"/>
      <c r="K18" s="341">
        <v>-92</v>
      </c>
      <c r="L18" s="338">
        <v>-14</v>
      </c>
      <c r="M18" s="338">
        <v>-57</v>
      </c>
      <c r="N18" s="338">
        <v>-56</v>
      </c>
      <c r="O18" s="338">
        <v>-219</v>
      </c>
      <c r="P18"/>
      <c r="Q18" s="341">
        <v>-53</v>
      </c>
      <c r="R18" s="338">
        <v>-44</v>
      </c>
      <c r="S18" s="338">
        <v>-64</v>
      </c>
      <c r="T18" s="338">
        <v>-108</v>
      </c>
      <c r="U18" s="338">
        <v>-269</v>
      </c>
      <c r="V18"/>
      <c r="W18" s="341">
        <v>-74</v>
      </c>
      <c r="X18" s="338">
        <v>-47</v>
      </c>
      <c r="Y18" s="338">
        <v>-53</v>
      </c>
      <c r="Z18" s="338">
        <v>-92</v>
      </c>
      <c r="AA18" s="338">
        <v>-266</v>
      </c>
      <c r="AB18"/>
      <c r="AC18" s="341">
        <v>-130</v>
      </c>
      <c r="AD18" s="397">
        <v>-58</v>
      </c>
      <c r="AE18" s="397">
        <v>-61</v>
      </c>
      <c r="AF18" s="338">
        <v>-111</v>
      </c>
      <c r="AG18" s="338">
        <v>-360</v>
      </c>
      <c r="AH18"/>
      <c r="AI18" s="341">
        <v>-140</v>
      </c>
      <c r="AJ18" s="397">
        <v>-52</v>
      </c>
      <c r="AK18" s="398">
        <v>-96</v>
      </c>
      <c r="AL18" s="338">
        <v>-109</v>
      </c>
      <c r="AM18" s="338">
        <v>-397</v>
      </c>
      <c r="AN18"/>
      <c r="AO18" s="381">
        <v>-136</v>
      </c>
      <c r="AP18" s="397">
        <v>-65</v>
      </c>
      <c r="AQ18" s="338">
        <v>-158</v>
      </c>
      <c r="AR18" s="338">
        <v>-148</v>
      </c>
      <c r="AS18" s="338">
        <v>-507</v>
      </c>
      <c r="AT18" s="446"/>
      <c r="AU18" s="338">
        <v>-148</v>
      </c>
      <c r="AV18" s="338">
        <v>-69</v>
      </c>
      <c r="AW18" s="338">
        <v>-117</v>
      </c>
      <c r="AX18" s="338">
        <v>-106</v>
      </c>
      <c r="AY18" s="338">
        <v>-440</v>
      </c>
      <c r="AZ18" s="446"/>
      <c r="BA18" s="338">
        <v>-157</v>
      </c>
      <c r="BB18" s="338">
        <v>-104</v>
      </c>
      <c r="BC18" s="428">
        <v>-125</v>
      </c>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547" t="s">
        <v>178</v>
      </c>
      <c r="B19" s="4"/>
      <c r="C19" s="341">
        <v>-1628</v>
      </c>
      <c r="D19"/>
      <c r="E19" s="341">
        <v>0</v>
      </c>
      <c r="F19" s="338">
        <v>0</v>
      </c>
      <c r="G19" s="338">
        <v>0</v>
      </c>
      <c r="H19" s="338">
        <v>0</v>
      </c>
      <c r="I19" s="338">
        <v>0</v>
      </c>
      <c r="J19"/>
      <c r="K19" s="341">
        <v>0</v>
      </c>
      <c r="L19" s="338">
        <v>0</v>
      </c>
      <c r="M19" s="338">
        <v>0</v>
      </c>
      <c r="N19" s="338">
        <v>0</v>
      </c>
      <c r="O19" s="338">
        <v>0</v>
      </c>
      <c r="P19"/>
      <c r="Q19" s="341">
        <v>0</v>
      </c>
      <c r="R19" s="338">
        <v>0</v>
      </c>
      <c r="S19" s="338">
        <v>0</v>
      </c>
      <c r="T19" s="338">
        <v>0</v>
      </c>
      <c r="U19" s="338">
        <v>0</v>
      </c>
      <c r="V19"/>
      <c r="W19" s="341">
        <v>0</v>
      </c>
      <c r="X19" s="338">
        <v>0</v>
      </c>
      <c r="Y19" s="338">
        <v>0</v>
      </c>
      <c r="Z19" s="338">
        <v>0</v>
      </c>
      <c r="AA19" s="338">
        <v>0</v>
      </c>
      <c r="AB19"/>
      <c r="AC19" s="341">
        <v>0</v>
      </c>
      <c r="AD19" s="397">
        <v>0</v>
      </c>
      <c r="AE19" s="397">
        <v>0</v>
      </c>
      <c r="AF19" s="338">
        <v>0</v>
      </c>
      <c r="AG19" s="338">
        <v>0</v>
      </c>
      <c r="AH19"/>
      <c r="AI19" s="341">
        <v>0</v>
      </c>
      <c r="AJ19" s="397">
        <v>0</v>
      </c>
      <c r="AK19" s="397">
        <v>0</v>
      </c>
      <c r="AL19" s="338">
        <v>0</v>
      </c>
      <c r="AM19" s="338">
        <v>0</v>
      </c>
      <c r="AN19"/>
      <c r="AO19" s="381">
        <v>0</v>
      </c>
      <c r="AP19" s="397">
        <v>0</v>
      </c>
      <c r="AQ19" s="338">
        <v>0</v>
      </c>
      <c r="AR19" s="338">
        <v>0</v>
      </c>
      <c r="AS19" s="338">
        <v>0</v>
      </c>
      <c r="AT19" s="446"/>
      <c r="AU19" s="338">
        <v>0</v>
      </c>
      <c r="AV19" s="338">
        <v>0</v>
      </c>
      <c r="AW19" s="338">
        <v>0</v>
      </c>
      <c r="AX19" s="338">
        <v>0</v>
      </c>
      <c r="AY19" s="338">
        <v>0</v>
      </c>
      <c r="AZ19" s="446"/>
      <c r="BA19" s="338">
        <v>0</v>
      </c>
      <c r="BB19" s="338">
        <v>0</v>
      </c>
      <c r="BC19" s="428">
        <v>0</v>
      </c>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s="547" t="s">
        <v>179</v>
      </c>
      <c r="B20" s="4"/>
      <c r="C20" s="341">
        <v>-502</v>
      </c>
      <c r="D20"/>
      <c r="E20" s="341">
        <v>-206</v>
      </c>
      <c r="F20" s="338">
        <v>-163</v>
      </c>
      <c r="G20" s="338">
        <v>-239</v>
      </c>
      <c r="H20" s="338">
        <v>-320</v>
      </c>
      <c r="I20" s="338">
        <v>-928</v>
      </c>
      <c r="J20"/>
      <c r="K20" s="341">
        <v>-173</v>
      </c>
      <c r="L20" s="338">
        <v>-65</v>
      </c>
      <c r="M20" s="338">
        <v>-97</v>
      </c>
      <c r="N20" s="338">
        <v>-336</v>
      </c>
      <c r="O20" s="338">
        <v>-671</v>
      </c>
      <c r="P20"/>
      <c r="Q20" s="341">
        <v>0</v>
      </c>
      <c r="R20" s="338">
        <v>-206</v>
      </c>
      <c r="S20" s="338">
        <v>0</v>
      </c>
      <c r="T20" s="338">
        <v>-255</v>
      </c>
      <c r="U20" s="338">
        <v>-461</v>
      </c>
      <c r="V20"/>
      <c r="W20" s="341">
        <v>0</v>
      </c>
      <c r="X20" s="338">
        <v>-262</v>
      </c>
      <c r="Y20" s="338">
        <v>0</v>
      </c>
      <c r="Z20" s="338">
        <v>-404</v>
      </c>
      <c r="AA20" s="338">
        <v>-666</v>
      </c>
      <c r="AB20"/>
      <c r="AC20" s="341">
        <v>0</v>
      </c>
      <c r="AD20" s="397">
        <v>-63</v>
      </c>
      <c r="AE20" s="397">
        <v>-109</v>
      </c>
      <c r="AF20" s="338">
        <v>-267</v>
      </c>
      <c r="AG20" s="338">
        <v>-439</v>
      </c>
      <c r="AH20"/>
      <c r="AI20" s="341">
        <v>0</v>
      </c>
      <c r="AJ20" s="397">
        <v>-207</v>
      </c>
      <c r="AK20" s="397">
        <v>0</v>
      </c>
      <c r="AL20" s="338">
        <v>0</v>
      </c>
      <c r="AM20" s="338">
        <v>-207</v>
      </c>
      <c r="AN20"/>
      <c r="AO20" s="381">
        <v>0</v>
      </c>
      <c r="AP20" s="397">
        <v>0</v>
      </c>
      <c r="AQ20" s="338">
        <v>0</v>
      </c>
      <c r="AR20" s="338">
        <v>0</v>
      </c>
      <c r="AS20" s="338">
        <v>0</v>
      </c>
      <c r="AT20" s="446"/>
      <c r="AU20" s="338">
        <v>0</v>
      </c>
      <c r="AV20" s="338">
        <v>0</v>
      </c>
      <c r="AW20" s="338">
        <v>0</v>
      </c>
      <c r="AX20" s="338">
        <v>0</v>
      </c>
      <c r="AY20" s="338">
        <v>0</v>
      </c>
      <c r="AZ20" s="446"/>
      <c r="BA20" s="338">
        <v>0</v>
      </c>
      <c r="BB20" s="338">
        <v>0</v>
      </c>
      <c r="BC20" s="428">
        <v>0</v>
      </c>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s="547" t="s">
        <v>180</v>
      </c>
      <c r="B21" s="4"/>
      <c r="C21" s="341">
        <v>0</v>
      </c>
      <c r="D21"/>
      <c r="E21" s="341">
        <v>0</v>
      </c>
      <c r="F21" s="338">
        <v>0</v>
      </c>
      <c r="G21" s="338">
        <v>0</v>
      </c>
      <c r="H21" s="338">
        <v>0</v>
      </c>
      <c r="I21" s="338">
        <v>0</v>
      </c>
      <c r="J21"/>
      <c r="K21" s="341">
        <v>0</v>
      </c>
      <c r="L21" s="338">
        <v>0</v>
      </c>
      <c r="M21" s="338">
        <v>0</v>
      </c>
      <c r="N21" s="338">
        <v>0</v>
      </c>
      <c r="O21" s="338">
        <v>0</v>
      </c>
      <c r="P21"/>
      <c r="Q21" s="341">
        <v>0</v>
      </c>
      <c r="R21" s="338">
        <v>0</v>
      </c>
      <c r="S21" s="338">
        <v>0</v>
      </c>
      <c r="T21" s="338">
        <v>0</v>
      </c>
      <c r="U21" s="338">
        <v>0</v>
      </c>
      <c r="V21"/>
      <c r="W21" s="341">
        <v>0</v>
      </c>
      <c r="X21" s="338">
        <v>0</v>
      </c>
      <c r="Y21" s="338">
        <v>0</v>
      </c>
      <c r="Z21" s="338">
        <v>0</v>
      </c>
      <c r="AA21" s="338">
        <v>0</v>
      </c>
      <c r="AB21"/>
      <c r="AC21" s="341">
        <v>0</v>
      </c>
      <c r="AD21" s="397">
        <v>0</v>
      </c>
      <c r="AE21" s="397">
        <v>0</v>
      </c>
      <c r="AF21" s="338">
        <v>0</v>
      </c>
      <c r="AG21" s="338">
        <v>0</v>
      </c>
      <c r="AH21"/>
      <c r="AI21" s="341">
        <v>0</v>
      </c>
      <c r="AJ21" s="397">
        <v>0</v>
      </c>
      <c r="AK21" s="397">
        <v>0</v>
      </c>
      <c r="AL21" s="338">
        <v>0</v>
      </c>
      <c r="AM21" s="338">
        <v>0</v>
      </c>
      <c r="AN21"/>
      <c r="AO21" s="381">
        <v>0</v>
      </c>
      <c r="AP21" s="397">
        <v>0</v>
      </c>
      <c r="AQ21" s="338">
        <v>0</v>
      </c>
      <c r="AR21" s="338">
        <v>1259</v>
      </c>
      <c r="AS21" s="338">
        <v>1259</v>
      </c>
      <c r="AT21" s="446"/>
      <c r="AU21" s="338">
        <v>431</v>
      </c>
      <c r="AV21" s="338">
        <v>358</v>
      </c>
      <c r="AW21" s="338">
        <v>0</v>
      </c>
      <c r="AX21" s="338">
        <v>0</v>
      </c>
      <c r="AY21" s="338">
        <v>789</v>
      </c>
      <c r="AZ21" s="446"/>
      <c r="BA21" s="338">
        <v>0</v>
      </c>
      <c r="BB21" s="338">
        <v>68</v>
      </c>
      <c r="BC21" s="428">
        <v>-40</v>
      </c>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547" t="s">
        <v>181</v>
      </c>
      <c r="B22" s="4"/>
      <c r="C22" s="341">
        <v>20</v>
      </c>
      <c r="D22" s="68">
        <v>-61</v>
      </c>
      <c r="E22" s="341">
        <v>-15</v>
      </c>
      <c r="F22" s="338">
        <v>-43</v>
      </c>
      <c r="G22" s="338">
        <v>10</v>
      </c>
      <c r="H22" s="338">
        <v>9</v>
      </c>
      <c r="I22" s="338">
        <v>-39</v>
      </c>
      <c r="J22"/>
      <c r="K22" s="341">
        <v>-35</v>
      </c>
      <c r="L22" s="338">
        <v>8</v>
      </c>
      <c r="M22" s="338">
        <v>-13</v>
      </c>
      <c r="N22" s="338">
        <v>14</v>
      </c>
      <c r="O22" s="338">
        <v>-26</v>
      </c>
      <c r="P22"/>
      <c r="Q22" s="341">
        <v>-35</v>
      </c>
      <c r="R22" s="338">
        <v>2</v>
      </c>
      <c r="S22" s="338">
        <v>-33</v>
      </c>
      <c r="T22" s="338">
        <v>-17</v>
      </c>
      <c r="U22" s="338">
        <v>-83</v>
      </c>
      <c r="V22"/>
      <c r="W22" s="341">
        <v>-3</v>
      </c>
      <c r="X22" s="338">
        <v>26</v>
      </c>
      <c r="Y22" s="338">
        <v>-14</v>
      </c>
      <c r="Z22" s="338">
        <v>-7</v>
      </c>
      <c r="AA22" s="338">
        <v>2</v>
      </c>
      <c r="AB22"/>
      <c r="AC22" s="341">
        <v>-22</v>
      </c>
      <c r="AD22" s="397">
        <v>-7</v>
      </c>
      <c r="AE22" s="397">
        <v>-3</v>
      </c>
      <c r="AF22" s="338">
        <v>60</v>
      </c>
      <c r="AG22" s="338">
        <v>28</v>
      </c>
      <c r="AH22"/>
      <c r="AI22" s="341">
        <v>-20</v>
      </c>
      <c r="AJ22" s="397">
        <v>-17</v>
      </c>
      <c r="AK22" s="397">
        <v>56</v>
      </c>
      <c r="AL22" s="338">
        <v>-16</v>
      </c>
      <c r="AM22" s="338">
        <v>3</v>
      </c>
      <c r="AN22"/>
      <c r="AO22" s="381">
        <v>100</v>
      </c>
      <c r="AP22" s="397">
        <v>-4</v>
      </c>
      <c r="AQ22" s="338">
        <v>1</v>
      </c>
      <c r="AR22" s="338">
        <f>1267-1259</f>
        <v>8</v>
      </c>
      <c r="AS22" s="338">
        <f>1364-1259</f>
        <v>105</v>
      </c>
      <c r="AT22" s="446"/>
      <c r="AU22" s="338">
        <f>889-431</f>
        <v>458</v>
      </c>
      <c r="AV22" s="338">
        <v>111</v>
      </c>
      <c r="AW22" s="338">
        <v>65</v>
      </c>
      <c r="AX22" s="338">
        <v>0</v>
      </c>
      <c r="AY22" s="338">
        <v>634</v>
      </c>
      <c r="AZ22" s="446"/>
      <c r="BA22" s="338">
        <v>-18</v>
      </c>
      <c r="BB22" s="338">
        <v>8</v>
      </c>
      <c r="BC22" s="428">
        <v>-15</v>
      </c>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599" t="s">
        <v>182</v>
      </c>
      <c r="B23" s="335"/>
      <c r="C23" s="339">
        <v>-5544</v>
      </c>
      <c r="D23"/>
      <c r="E23" s="339">
        <v>-1111</v>
      </c>
      <c r="F23" s="337">
        <v>-1063</v>
      </c>
      <c r="G23" s="337">
        <v>-1203</v>
      </c>
      <c r="H23" s="337">
        <v>-1529</v>
      </c>
      <c r="I23" s="337">
        <v>-4906</v>
      </c>
      <c r="J23"/>
      <c r="K23" s="339">
        <v>-1178</v>
      </c>
      <c r="L23" s="337">
        <v>-873</v>
      </c>
      <c r="M23" s="337">
        <v>-807</v>
      </c>
      <c r="N23" s="337">
        <v>-1090</v>
      </c>
      <c r="O23" s="337">
        <v>-3948</v>
      </c>
      <c r="P23"/>
      <c r="Q23" s="339">
        <v>-650</v>
      </c>
      <c r="R23" s="337">
        <v>-797</v>
      </c>
      <c r="S23" s="337">
        <v>-629</v>
      </c>
      <c r="T23" s="337">
        <v>-1264</v>
      </c>
      <c r="U23" s="337">
        <v>-3340</v>
      </c>
      <c r="V23"/>
      <c r="W23" s="339">
        <v>-678</v>
      </c>
      <c r="X23" s="337">
        <v>-835</v>
      </c>
      <c r="Y23" s="337">
        <v>-658</v>
      </c>
      <c r="Z23" s="337">
        <v>-1368</v>
      </c>
      <c r="AA23" s="337">
        <v>-3539</v>
      </c>
      <c r="AB23"/>
      <c r="AC23" s="339">
        <v>-877</v>
      </c>
      <c r="AD23" s="356">
        <v>-819</v>
      </c>
      <c r="AE23" s="356">
        <v>-822</v>
      </c>
      <c r="AF23" s="337">
        <v>-1125</v>
      </c>
      <c r="AG23" s="337">
        <v>-3643</v>
      </c>
      <c r="AH23"/>
      <c r="AI23" s="339">
        <v>-983</v>
      </c>
      <c r="AJ23" s="356">
        <v>-842</v>
      </c>
      <c r="AK23" s="356">
        <v>-850</v>
      </c>
      <c r="AL23" s="337">
        <v>-986</v>
      </c>
      <c r="AM23" s="337">
        <v>-3661</v>
      </c>
      <c r="AN23"/>
      <c r="AO23" s="382">
        <v>-714</v>
      </c>
      <c r="AP23" s="356">
        <v>-853</v>
      </c>
      <c r="AQ23" s="337">
        <v>-939</v>
      </c>
      <c r="AR23" s="337">
        <v>-20</v>
      </c>
      <c r="AS23" s="337">
        <v>-2526</v>
      </c>
      <c r="AT23" s="446"/>
      <c r="AU23" s="337">
        <v>-195</v>
      </c>
      <c r="AV23" s="337">
        <v>-415</v>
      </c>
      <c r="AW23" s="337">
        <v>-923</v>
      </c>
      <c r="AX23" s="337">
        <v>-1162</v>
      </c>
      <c r="AY23" s="337">
        <v>-2695</v>
      </c>
      <c r="AZ23" s="446"/>
      <c r="BA23" s="337">
        <f>BA17+BA18+BA22</f>
        <v>-1163</v>
      </c>
      <c r="BB23" s="337">
        <v>-824</v>
      </c>
      <c r="BC23" s="427">
        <v>-1049</v>
      </c>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s="600"/>
      <c r="B24" s="3"/>
      <c r="C24" s="343"/>
      <c r="D24" s="60"/>
      <c r="E24" s="343"/>
      <c r="F24" s="342"/>
      <c r="G24" s="342"/>
      <c r="H24" s="342"/>
      <c r="I24" s="342"/>
      <c r="J24" s="60"/>
      <c r="K24" s="343"/>
      <c r="L24" s="342"/>
      <c r="M24" s="342"/>
      <c r="N24" s="342"/>
      <c r="O24" s="342"/>
      <c r="P24" s="60"/>
      <c r="Q24" s="343"/>
      <c r="R24" s="342"/>
      <c r="S24" s="342"/>
      <c r="T24" s="342"/>
      <c r="U24" s="342"/>
      <c r="V24" s="60"/>
      <c r="W24" s="343"/>
      <c r="X24" s="342"/>
      <c r="Y24" s="342"/>
      <c r="Z24" s="342"/>
      <c r="AA24" s="342"/>
      <c r="AB24" s="60"/>
      <c r="AC24" s="343"/>
      <c r="AD24" s="353"/>
      <c r="AE24" s="362"/>
      <c r="AF24" s="342"/>
      <c r="AG24" s="342"/>
      <c r="AH24" s="60"/>
      <c r="AI24" s="343"/>
      <c r="AJ24" s="362"/>
      <c r="AK24" s="362"/>
      <c r="AL24" s="342"/>
      <c r="AM24" s="342"/>
      <c r="AN24" s="370"/>
      <c r="AO24" s="399"/>
      <c r="AP24" s="360"/>
      <c r="AQ24" s="342"/>
      <c r="AR24" s="342"/>
      <c r="AS24" s="342"/>
      <c r="AT24" s="447"/>
      <c r="AU24" s="342"/>
      <c r="AV24" s="342"/>
      <c r="AW24" s="342"/>
      <c r="AX24" s="342"/>
      <c r="AY24" s="342"/>
      <c r="AZ24" s="447"/>
      <c r="BA24" s="342"/>
      <c r="BB24" s="342"/>
      <c r="BC24" s="419"/>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s="547" t="s">
        <v>183</v>
      </c>
      <c r="B25" s="4"/>
      <c r="C25" s="344">
        <v>2641</v>
      </c>
      <c r="D25" s="60"/>
      <c r="E25" s="344">
        <v>1147</v>
      </c>
      <c r="F25" s="340">
        <v>2264</v>
      </c>
      <c r="G25" s="340">
        <v>670</v>
      </c>
      <c r="H25" s="340">
        <v>907</v>
      </c>
      <c r="I25" s="340">
        <v>4988</v>
      </c>
      <c r="J25" s="60"/>
      <c r="K25" s="344">
        <v>1048</v>
      </c>
      <c r="L25" s="340">
        <v>932</v>
      </c>
      <c r="M25" s="340">
        <v>916</v>
      </c>
      <c r="N25" s="340">
        <v>370</v>
      </c>
      <c r="O25" s="340">
        <v>3266</v>
      </c>
      <c r="P25" s="60"/>
      <c r="Q25" s="344">
        <v>762</v>
      </c>
      <c r="R25" s="340">
        <v>685</v>
      </c>
      <c r="S25" s="340">
        <v>198</v>
      </c>
      <c r="T25" s="340">
        <v>797</v>
      </c>
      <c r="U25" s="340">
        <v>2442</v>
      </c>
      <c r="V25" s="60"/>
      <c r="W25" s="344">
        <v>1131</v>
      </c>
      <c r="X25" s="340">
        <v>934</v>
      </c>
      <c r="Y25" s="340">
        <v>0</v>
      </c>
      <c r="Z25" s="340">
        <v>211</v>
      </c>
      <c r="AA25" s="340">
        <v>2276</v>
      </c>
      <c r="AB25" s="60"/>
      <c r="AC25" s="344">
        <v>3145</v>
      </c>
      <c r="AD25" s="398">
        <v>280</v>
      </c>
      <c r="AE25" s="398">
        <v>977</v>
      </c>
      <c r="AF25" s="340">
        <v>328</v>
      </c>
      <c r="AG25" s="340">
        <v>4730</v>
      </c>
      <c r="AH25" s="60"/>
      <c r="AI25" s="344">
        <v>1740</v>
      </c>
      <c r="AJ25" s="398">
        <v>2417</v>
      </c>
      <c r="AK25" s="398">
        <v>24</v>
      </c>
      <c r="AL25" s="340">
        <v>66</v>
      </c>
      <c r="AM25" s="340">
        <v>4247</v>
      </c>
      <c r="AN25" s="370"/>
      <c r="AO25" s="364">
        <v>24</v>
      </c>
      <c r="AP25" s="340">
        <v>31</v>
      </c>
      <c r="AQ25" s="340">
        <v>19</v>
      </c>
      <c r="AR25" s="340">
        <v>284</v>
      </c>
      <c r="AS25" s="340">
        <v>358</v>
      </c>
      <c r="AT25" s="447"/>
      <c r="AU25" s="340">
        <v>44</v>
      </c>
      <c r="AV25" s="340">
        <v>6</v>
      </c>
      <c r="AW25" s="340">
        <v>624</v>
      </c>
      <c r="AX25" s="340">
        <v>3</v>
      </c>
      <c r="AY25" s="340">
        <v>677</v>
      </c>
      <c r="AZ25" s="447"/>
      <c r="BA25" s="340">
        <v>1385</v>
      </c>
      <c r="BB25" s="340">
        <v>0</v>
      </c>
      <c r="BC25" s="420">
        <v>275</v>
      </c>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row>
    <row r="26" spans="1:256" ht="12" customHeight="1">
      <c r="A26" s="601" t="s">
        <v>184</v>
      </c>
      <c r="B26" s="4"/>
      <c r="C26" s="344">
        <v>0</v>
      </c>
      <c r="D26"/>
      <c r="E26" s="344">
        <v>0</v>
      </c>
      <c r="F26" s="340">
        <v>0</v>
      </c>
      <c r="G26" s="340">
        <v>0</v>
      </c>
      <c r="H26" s="340">
        <v>0</v>
      </c>
      <c r="I26" s="340">
        <v>0</v>
      </c>
      <c r="J26"/>
      <c r="K26" s="344">
        <v>0</v>
      </c>
      <c r="L26" s="340">
        <v>0</v>
      </c>
      <c r="M26" s="340">
        <v>0</v>
      </c>
      <c r="N26" s="340">
        <v>0</v>
      </c>
      <c r="O26" s="340">
        <v>0</v>
      </c>
      <c r="P26"/>
      <c r="Q26" s="344">
        <v>0</v>
      </c>
      <c r="R26" s="340">
        <v>0</v>
      </c>
      <c r="S26" s="340">
        <v>0</v>
      </c>
      <c r="T26" s="340">
        <v>0</v>
      </c>
      <c r="U26" s="340">
        <v>0</v>
      </c>
      <c r="V26"/>
      <c r="W26" s="344">
        <v>0</v>
      </c>
      <c r="X26" s="340">
        <v>0</v>
      </c>
      <c r="Y26" s="340">
        <v>0</v>
      </c>
      <c r="Z26" s="340">
        <v>0</v>
      </c>
      <c r="AA26" s="340">
        <v>0</v>
      </c>
      <c r="AB26"/>
      <c r="AC26" s="344">
        <v>0</v>
      </c>
      <c r="AD26" s="398">
        <v>2000</v>
      </c>
      <c r="AE26" s="398">
        <v>0</v>
      </c>
      <c r="AF26" s="340">
        <v>0</v>
      </c>
      <c r="AG26" s="340">
        <v>2000</v>
      </c>
      <c r="AH26"/>
      <c r="AI26" s="344">
        <v>0</v>
      </c>
      <c r="AJ26" s="397">
        <v>0</v>
      </c>
      <c r="AK26" s="398">
        <v>0</v>
      </c>
      <c r="AL26" s="340">
        <v>0</v>
      </c>
      <c r="AM26" s="340">
        <v>0</v>
      </c>
      <c r="AN26"/>
      <c r="AO26" s="381">
        <v>0</v>
      </c>
      <c r="AP26" s="397">
        <v>0</v>
      </c>
      <c r="AQ26" s="340">
        <v>0</v>
      </c>
      <c r="AR26" s="340">
        <v>0</v>
      </c>
      <c r="AS26" s="340">
        <v>0</v>
      </c>
      <c r="AT26" s="446"/>
      <c r="AU26" s="340">
        <v>0</v>
      </c>
      <c r="AV26" s="340">
        <v>0</v>
      </c>
      <c r="AW26" s="340">
        <v>0</v>
      </c>
      <c r="AX26" s="340">
        <v>0</v>
      </c>
      <c r="AY26" s="340">
        <v>0</v>
      </c>
      <c r="AZ26" s="446"/>
      <c r="BA26" s="340">
        <v>0</v>
      </c>
      <c r="BB26" s="340">
        <v>0</v>
      </c>
      <c r="BC26" s="420"/>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547" t="s">
        <v>185</v>
      </c>
      <c r="B27" s="4"/>
      <c r="C27" s="341">
        <v>-1240</v>
      </c>
      <c r="D27"/>
      <c r="E27" s="341">
        <v>-760</v>
      </c>
      <c r="F27" s="338">
        <v>-1876</v>
      </c>
      <c r="G27" s="338">
        <v>-254</v>
      </c>
      <c r="H27" s="338">
        <v>-206</v>
      </c>
      <c r="I27" s="338">
        <v>-3096</v>
      </c>
      <c r="J27"/>
      <c r="K27" s="341">
        <v>-335</v>
      </c>
      <c r="L27" s="338">
        <v>-661</v>
      </c>
      <c r="M27" s="338">
        <v>-825</v>
      </c>
      <c r="N27" s="338">
        <v>-880</v>
      </c>
      <c r="O27" s="338">
        <v>-2701</v>
      </c>
      <c r="P27"/>
      <c r="Q27" s="341">
        <v>-746</v>
      </c>
      <c r="R27" s="338">
        <v>-786</v>
      </c>
      <c r="S27" s="338">
        <v>-6</v>
      </c>
      <c r="T27" s="338">
        <v>-534</v>
      </c>
      <c r="U27" s="338">
        <v>-2072</v>
      </c>
      <c r="V27"/>
      <c r="W27" s="341">
        <v>-492</v>
      </c>
      <c r="X27" s="338">
        <v>-673</v>
      </c>
      <c r="Y27" s="338">
        <v>-256</v>
      </c>
      <c r="Z27" s="338">
        <v>-689</v>
      </c>
      <c r="AA27" s="338">
        <v>-2110</v>
      </c>
      <c r="AB27"/>
      <c r="AC27" s="341">
        <v>-3075</v>
      </c>
      <c r="AD27" s="397">
        <v>-1973</v>
      </c>
      <c r="AE27" s="397">
        <v>-1377</v>
      </c>
      <c r="AF27" s="338">
        <v>-1373</v>
      </c>
      <c r="AG27" s="338">
        <v>-7798</v>
      </c>
      <c r="AH27"/>
      <c r="AI27" s="341">
        <v>-465</v>
      </c>
      <c r="AJ27" s="397">
        <v>-2726</v>
      </c>
      <c r="AK27" s="397">
        <v>-1323</v>
      </c>
      <c r="AL27" s="338">
        <v>-96</v>
      </c>
      <c r="AM27" s="338">
        <v>-4610</v>
      </c>
      <c r="AN27"/>
      <c r="AO27" s="381">
        <v>-1113</v>
      </c>
      <c r="AP27" s="397">
        <v>-517</v>
      </c>
      <c r="AQ27" s="338">
        <v>-102</v>
      </c>
      <c r="AR27" s="338">
        <v>-413</v>
      </c>
      <c r="AS27" s="338">
        <v>-2145</v>
      </c>
      <c r="AT27" s="446"/>
      <c r="AU27" s="338">
        <v>-96</v>
      </c>
      <c r="AV27" s="338">
        <v>-137</v>
      </c>
      <c r="AW27" s="338">
        <v>-130</v>
      </c>
      <c r="AX27" s="338">
        <v>-121</v>
      </c>
      <c r="AY27" s="338">
        <v>-484</v>
      </c>
      <c r="AZ27" s="446"/>
      <c r="BA27" s="338">
        <v>-1295</v>
      </c>
      <c r="BB27" s="338">
        <v>-367</v>
      </c>
      <c r="BC27" s="420">
        <v>-139</v>
      </c>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547" t="s">
        <v>186</v>
      </c>
      <c r="B28" s="4"/>
      <c r="C28" s="341">
        <v>-1000</v>
      </c>
      <c r="D28"/>
      <c r="E28" s="341">
        <v>0</v>
      </c>
      <c r="F28" s="338">
        <v>-400</v>
      </c>
      <c r="G28" s="338">
        <v>0</v>
      </c>
      <c r="H28" s="338">
        <v>-400</v>
      </c>
      <c r="I28" s="338">
        <v>-800</v>
      </c>
      <c r="J28"/>
      <c r="K28" s="341">
        <v>0</v>
      </c>
      <c r="L28" s="338">
        <v>0</v>
      </c>
      <c r="M28" s="338">
        <v>-150</v>
      </c>
      <c r="N28" s="338">
        <v>-150</v>
      </c>
      <c r="O28" s="338">
        <v>-300</v>
      </c>
      <c r="P28"/>
      <c r="Q28" s="341">
        <v>0</v>
      </c>
      <c r="R28" s="338">
        <v>0</v>
      </c>
      <c r="S28" s="338">
        <v>-100</v>
      </c>
      <c r="T28" s="338">
        <v>-100</v>
      </c>
      <c r="U28" s="338">
        <v>-200</v>
      </c>
      <c r="V28"/>
      <c r="W28" s="341">
        <v>0</v>
      </c>
      <c r="X28" s="338">
        <v>0</v>
      </c>
      <c r="Y28" s="338">
        <v>0</v>
      </c>
      <c r="Z28" s="338">
        <v>0</v>
      </c>
      <c r="AA28" s="338">
        <v>0</v>
      </c>
      <c r="AB28"/>
      <c r="AC28" s="341">
        <v>0</v>
      </c>
      <c r="AD28" s="397">
        <v>0</v>
      </c>
      <c r="AE28" s="397">
        <v>0</v>
      </c>
      <c r="AF28" s="338">
        <v>0</v>
      </c>
      <c r="AG28" s="338">
        <v>0</v>
      </c>
      <c r="AH28"/>
      <c r="AI28" s="341">
        <v>0</v>
      </c>
      <c r="AJ28" s="397">
        <v>0</v>
      </c>
      <c r="AK28" s="397">
        <v>0</v>
      </c>
      <c r="AL28" s="338">
        <v>0</v>
      </c>
      <c r="AM28" s="338">
        <v>0</v>
      </c>
      <c r="AN28"/>
      <c r="AO28" s="381">
        <v>0</v>
      </c>
      <c r="AP28" s="397">
        <v>-300</v>
      </c>
      <c r="AQ28" s="338">
        <v>0</v>
      </c>
      <c r="AR28" s="338">
        <v>0</v>
      </c>
      <c r="AS28" s="338">
        <v>-300</v>
      </c>
      <c r="AT28" s="446"/>
      <c r="AU28" s="338">
        <v>0</v>
      </c>
      <c r="AV28" s="338">
        <v>0</v>
      </c>
      <c r="AW28" s="338">
        <v>-600</v>
      </c>
      <c r="AX28" s="338">
        <v>0</v>
      </c>
      <c r="AY28" s="338">
        <v>-600</v>
      </c>
      <c r="AZ28" s="446"/>
      <c r="BA28" s="338">
        <v>0</v>
      </c>
      <c r="BB28" s="338">
        <v>0</v>
      </c>
      <c r="BC28" s="420">
        <v>0</v>
      </c>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547" t="s">
        <v>169</v>
      </c>
      <c r="B29" s="4"/>
      <c r="C29" s="341">
        <v>-136</v>
      </c>
      <c r="D29"/>
      <c r="E29" s="341">
        <v>-17</v>
      </c>
      <c r="F29" s="338">
        <v>-162</v>
      </c>
      <c r="G29" s="338">
        <v>-29</v>
      </c>
      <c r="H29" s="338">
        <v>-24</v>
      </c>
      <c r="I29" s="338">
        <v>-232</v>
      </c>
      <c r="J29"/>
      <c r="K29" s="341">
        <v>-28</v>
      </c>
      <c r="L29" s="338">
        <v>-27</v>
      </c>
      <c r="M29" s="338">
        <v>-43</v>
      </c>
      <c r="N29" s="338">
        <v>-46</v>
      </c>
      <c r="O29" s="338">
        <v>-144</v>
      </c>
      <c r="P29"/>
      <c r="Q29" s="341">
        <v>-42</v>
      </c>
      <c r="R29" s="338">
        <v>-39</v>
      </c>
      <c r="S29" s="338">
        <v>-37</v>
      </c>
      <c r="T29" s="338">
        <v>-39</v>
      </c>
      <c r="U29" s="338">
        <v>-157</v>
      </c>
      <c r="V29"/>
      <c r="W29" s="341">
        <v>-32</v>
      </c>
      <c r="X29" s="338">
        <v>-38</v>
      </c>
      <c r="Y29" s="338">
        <v>-46</v>
      </c>
      <c r="Z29" s="338">
        <v>-3</v>
      </c>
      <c r="AA29" s="338">
        <v>-119</v>
      </c>
      <c r="AB29"/>
      <c r="AC29" s="341">
        <v>-54</v>
      </c>
      <c r="AD29" s="397">
        <v>-54</v>
      </c>
      <c r="AE29" s="397">
        <v>-9</v>
      </c>
      <c r="AF29" s="338">
        <v>-122</v>
      </c>
      <c r="AG29" s="338">
        <v>-239</v>
      </c>
      <c r="AH29"/>
      <c r="AI29" s="341">
        <v>-67</v>
      </c>
      <c r="AJ29" s="397">
        <v>-68</v>
      </c>
      <c r="AK29" s="397">
        <v>-14</v>
      </c>
      <c r="AL29" s="338">
        <v>-28</v>
      </c>
      <c r="AM29" s="338">
        <v>-177</v>
      </c>
      <c r="AN29"/>
      <c r="AO29" s="381">
        <v>-41</v>
      </c>
      <c r="AP29" s="397">
        <v>-23</v>
      </c>
      <c r="AQ29" s="338">
        <v>-16</v>
      </c>
      <c r="AR29" s="338">
        <v>-14</v>
      </c>
      <c r="AS29" s="338">
        <v>-94</v>
      </c>
      <c r="AT29" s="446"/>
      <c r="AU29" s="338">
        <v>-31</v>
      </c>
      <c r="AV29" s="338">
        <v>-9</v>
      </c>
      <c r="AW29" s="338">
        <v>-5</v>
      </c>
      <c r="AX29" s="338">
        <v>-47</v>
      </c>
      <c r="AY29" s="338">
        <v>-92</v>
      </c>
      <c r="AZ29" s="446"/>
      <c r="BA29" s="338">
        <v>-27</v>
      </c>
      <c r="BB29" s="338">
        <v>-25</v>
      </c>
      <c r="BC29" s="420">
        <v>9</v>
      </c>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547" t="s">
        <v>187</v>
      </c>
      <c r="B30" s="4"/>
      <c r="C30" s="341">
        <v>-17</v>
      </c>
      <c r="D30"/>
      <c r="E30" s="341">
        <v>7</v>
      </c>
      <c r="F30" s="338">
        <v>3</v>
      </c>
      <c r="G30" s="338">
        <v>4</v>
      </c>
      <c r="H30" s="338">
        <v>-10</v>
      </c>
      <c r="I30" s="338">
        <v>4</v>
      </c>
      <c r="J30"/>
      <c r="K30" s="341">
        <v>-3</v>
      </c>
      <c r="L30" s="338">
        <v>12</v>
      </c>
      <c r="M30" s="338">
        <v>0</v>
      </c>
      <c r="N30" s="338">
        <v>3</v>
      </c>
      <c r="O30" s="338">
        <v>12</v>
      </c>
      <c r="P30"/>
      <c r="Q30" s="341">
        <v>0</v>
      </c>
      <c r="R30" s="338">
        <v>2</v>
      </c>
      <c r="S30" s="338">
        <v>1</v>
      </c>
      <c r="T30" s="338">
        <v>2</v>
      </c>
      <c r="U30" s="338">
        <v>5</v>
      </c>
      <c r="V30"/>
      <c r="W30" s="341">
        <v>1</v>
      </c>
      <c r="X30" s="338">
        <v>1</v>
      </c>
      <c r="Y30" s="338">
        <v>1</v>
      </c>
      <c r="Z30" s="338">
        <v>16</v>
      </c>
      <c r="AA30" s="338">
        <v>19</v>
      </c>
      <c r="AB30"/>
      <c r="AC30" s="341">
        <v>0</v>
      </c>
      <c r="AD30" s="397">
        <v>1</v>
      </c>
      <c r="AE30" s="397">
        <v>0</v>
      </c>
      <c r="AF30" s="338">
        <v>-2</v>
      </c>
      <c r="AG30" s="338">
        <v>-1</v>
      </c>
      <c r="AH30"/>
      <c r="AI30" s="341">
        <v>1</v>
      </c>
      <c r="AJ30" s="397">
        <v>-6</v>
      </c>
      <c r="AK30" s="397">
        <v>5</v>
      </c>
      <c r="AL30" s="338">
        <v>-8</v>
      </c>
      <c r="AM30" s="338">
        <v>-8</v>
      </c>
      <c r="AN30"/>
      <c r="AO30" s="381">
        <v>1</v>
      </c>
      <c r="AP30" s="397">
        <v>-17</v>
      </c>
      <c r="AQ30" s="338">
        <v>8</v>
      </c>
      <c r="AR30" s="338">
        <v>-11</v>
      </c>
      <c r="AS30" s="338">
        <v>-19</v>
      </c>
      <c r="AT30" s="446"/>
      <c r="AU30" s="338">
        <v>7</v>
      </c>
      <c r="AV30" s="338">
        <v>-1</v>
      </c>
      <c r="AW30" s="338">
        <v>2</v>
      </c>
      <c r="AX30" s="338">
        <v>45</v>
      </c>
      <c r="AY30" s="338">
        <v>53</v>
      </c>
      <c r="AZ30" s="446"/>
      <c r="BA30" s="338">
        <v>3</v>
      </c>
      <c r="BB30" s="338">
        <v>45</v>
      </c>
      <c r="BC30" s="420">
        <v>-250</v>
      </c>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s="599" t="s">
        <v>188</v>
      </c>
      <c r="B31" s="335"/>
      <c r="C31" s="339">
        <v>248</v>
      </c>
      <c r="D31" s="68">
        <v>0</v>
      </c>
      <c r="E31" s="339">
        <v>377</v>
      </c>
      <c r="F31" s="337">
        <v>-171</v>
      </c>
      <c r="G31" s="337">
        <v>391</v>
      </c>
      <c r="H31" s="337">
        <v>267</v>
      </c>
      <c r="I31" s="337">
        <v>864</v>
      </c>
      <c r="J31"/>
      <c r="K31" s="339">
        <v>682</v>
      </c>
      <c r="L31" s="337">
        <v>256</v>
      </c>
      <c r="M31" s="337">
        <v>-102</v>
      </c>
      <c r="N31" s="337">
        <v>-703</v>
      </c>
      <c r="O31" s="337">
        <v>133</v>
      </c>
      <c r="P31"/>
      <c r="Q31" s="339">
        <v>-26</v>
      </c>
      <c r="R31" s="337">
        <v>-138</v>
      </c>
      <c r="S31" s="337">
        <v>56</v>
      </c>
      <c r="T31" s="337">
        <v>126</v>
      </c>
      <c r="U31" s="337">
        <v>18</v>
      </c>
      <c r="V31"/>
      <c r="W31" s="339">
        <v>608</v>
      </c>
      <c r="X31" s="337">
        <v>224</v>
      </c>
      <c r="Y31" s="337">
        <v>-301</v>
      </c>
      <c r="Z31" s="337">
        <v>-465</v>
      </c>
      <c r="AA31" s="337">
        <v>66</v>
      </c>
      <c r="AB31"/>
      <c r="AC31" s="339">
        <v>16</v>
      </c>
      <c r="AD31" s="356">
        <v>254</v>
      </c>
      <c r="AE31" s="356">
        <v>-409</v>
      </c>
      <c r="AF31" s="337">
        <v>-1169</v>
      </c>
      <c r="AG31" s="337">
        <v>-1308</v>
      </c>
      <c r="AH31"/>
      <c r="AI31" s="339">
        <v>1209</v>
      </c>
      <c r="AJ31" s="356">
        <v>-383</v>
      </c>
      <c r="AK31" s="356">
        <v>-1308</v>
      </c>
      <c r="AL31" s="337">
        <v>-66</v>
      </c>
      <c r="AM31" s="337">
        <v>-548</v>
      </c>
      <c r="AN31"/>
      <c r="AO31" s="382">
        <v>-1129</v>
      </c>
      <c r="AP31" s="356">
        <v>-826</v>
      </c>
      <c r="AQ31" s="337">
        <v>-91</v>
      </c>
      <c r="AR31" s="337">
        <v>-154</v>
      </c>
      <c r="AS31" s="337">
        <v>-2200</v>
      </c>
      <c r="AT31" s="446"/>
      <c r="AU31" s="337">
        <v>-76</v>
      </c>
      <c r="AV31" s="337">
        <v>-141</v>
      </c>
      <c r="AW31" s="337">
        <v>-109</v>
      </c>
      <c r="AX31" s="337">
        <v>-120</v>
      </c>
      <c r="AY31" s="337">
        <v>-446</v>
      </c>
      <c r="AZ31" s="446"/>
      <c r="BA31" s="337">
        <f>BA25+BA27+BA29+BA30</f>
        <v>66</v>
      </c>
      <c r="BB31" s="337">
        <v>-347</v>
      </c>
      <c r="BC31" s="418">
        <v>-105</v>
      </c>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602"/>
      <c r="B32" s="335"/>
      <c r="C32" s="343"/>
      <c r="D32" s="60"/>
      <c r="E32" s="343"/>
      <c r="F32" s="342"/>
      <c r="G32" s="342"/>
      <c r="H32" s="342"/>
      <c r="I32" s="342"/>
      <c r="J32" s="60"/>
      <c r="K32" s="343"/>
      <c r="L32" s="342"/>
      <c r="M32" s="342"/>
      <c r="N32" s="342"/>
      <c r="O32" s="342"/>
      <c r="P32" s="60"/>
      <c r="Q32" s="343"/>
      <c r="R32" s="342"/>
      <c r="S32" s="342"/>
      <c r="T32" s="342"/>
      <c r="U32" s="342"/>
      <c r="V32" s="60"/>
      <c r="W32" s="343"/>
      <c r="X32" s="342"/>
      <c r="Y32" s="342"/>
      <c r="Z32" s="342"/>
      <c r="AA32" s="342"/>
      <c r="AB32" s="60"/>
      <c r="AC32" s="343"/>
      <c r="AD32" s="353"/>
      <c r="AE32" s="362"/>
      <c r="AF32" s="342"/>
      <c r="AG32" s="342"/>
      <c r="AH32" s="60"/>
      <c r="AI32" s="343"/>
      <c r="AJ32" s="362"/>
      <c r="AK32" s="362"/>
      <c r="AL32" s="342"/>
      <c r="AM32" s="342"/>
      <c r="AN32" s="60"/>
      <c r="AO32" s="373"/>
      <c r="AP32" s="360"/>
      <c r="AQ32" s="342"/>
      <c r="AR32" s="342"/>
      <c r="AS32" s="342"/>
      <c r="AT32" s="447"/>
      <c r="AU32" s="342"/>
      <c r="AV32" s="342"/>
      <c r="AW32" s="342"/>
      <c r="AX32" s="342"/>
      <c r="AY32" s="342"/>
      <c r="AZ32" s="447"/>
      <c r="BA32" s="342"/>
      <c r="BB32" s="342"/>
      <c r="BC32" s="419"/>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s="603" t="s">
        <v>189</v>
      </c>
      <c r="B33" s="335"/>
      <c r="C33" s="346">
        <v>-447</v>
      </c>
      <c r="D33" s="347"/>
      <c r="E33" s="346">
        <v>474</v>
      </c>
      <c r="F33" s="345">
        <v>-13</v>
      </c>
      <c r="G33" s="345">
        <v>152</v>
      </c>
      <c r="H33" s="345">
        <v>-492</v>
      </c>
      <c r="I33" s="345">
        <v>121</v>
      </c>
      <c r="J33" s="347"/>
      <c r="K33" s="346">
        <v>88</v>
      </c>
      <c r="L33" s="345">
        <v>130</v>
      </c>
      <c r="M33" s="345">
        <v>40</v>
      </c>
      <c r="N33" s="345">
        <v>139</v>
      </c>
      <c r="O33" s="345">
        <v>397</v>
      </c>
      <c r="P33" s="347"/>
      <c r="Q33" s="346">
        <v>-218</v>
      </c>
      <c r="R33" s="345">
        <v>-201</v>
      </c>
      <c r="S33" s="345">
        <v>-27</v>
      </c>
      <c r="T33" s="345">
        <v>178</v>
      </c>
      <c r="U33" s="345">
        <v>-268</v>
      </c>
      <c r="V33" s="347"/>
      <c r="W33" s="346">
        <v>-81</v>
      </c>
      <c r="X33" s="345">
        <v>104</v>
      </c>
      <c r="Y33" s="345">
        <v>159</v>
      </c>
      <c r="Z33" s="345">
        <v>171</v>
      </c>
      <c r="AA33" s="345">
        <v>353</v>
      </c>
      <c r="AB33" s="347"/>
      <c r="AC33" s="346">
        <v>-326</v>
      </c>
      <c r="AD33" s="357">
        <v>514</v>
      </c>
      <c r="AE33" s="357">
        <v>-354</v>
      </c>
      <c r="AF33" s="345">
        <v>263</v>
      </c>
      <c r="AG33" s="345">
        <v>97</v>
      </c>
      <c r="AH33" s="347"/>
      <c r="AI33" s="346">
        <v>1177</v>
      </c>
      <c r="AJ33" s="357">
        <v>-245</v>
      </c>
      <c r="AK33" s="357">
        <v>-835</v>
      </c>
      <c r="AL33" s="345">
        <v>1350</v>
      </c>
      <c r="AM33" s="345">
        <v>1447</v>
      </c>
      <c r="AN33" s="347"/>
      <c r="AO33" s="374">
        <v>-916</v>
      </c>
      <c r="AP33" s="345">
        <v>-289</v>
      </c>
      <c r="AQ33" s="345">
        <v>-681</v>
      </c>
      <c r="AR33" s="345">
        <v>1426</v>
      </c>
      <c r="AS33" s="345">
        <v>-460</v>
      </c>
      <c r="AT33" s="448"/>
      <c r="AU33" s="345">
        <v>1454</v>
      </c>
      <c r="AV33" s="345">
        <v>-691</v>
      </c>
      <c r="AW33" s="345">
        <v>-464</v>
      </c>
      <c r="AX33" s="345">
        <v>-976</v>
      </c>
      <c r="AY33" s="345">
        <v>-677</v>
      </c>
      <c r="AZ33" s="448"/>
      <c r="BA33" s="345">
        <f>BA15+BA23+BA31</f>
        <v>383</v>
      </c>
      <c r="BB33" s="345">
        <v>279</v>
      </c>
      <c r="BC33" s="418">
        <v>-442</v>
      </c>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55" ht="12" customHeight="1">
      <c r="A34" s="604" t="s">
        <v>190</v>
      </c>
      <c r="B34" s="6"/>
      <c r="C34" s="339">
        <v>58</v>
      </c>
      <c r="D34" s="463"/>
      <c r="E34" s="339">
        <v>-73</v>
      </c>
      <c r="F34" s="337">
        <v>-83</v>
      </c>
      <c r="G34" s="337">
        <v>9</v>
      </c>
      <c r="H34" s="337">
        <v>12</v>
      </c>
      <c r="I34" s="337">
        <v>-135</v>
      </c>
      <c r="J34" s="463"/>
      <c r="K34" s="339">
        <v>40</v>
      </c>
      <c r="L34" s="337">
        <v>-21</v>
      </c>
      <c r="M34" s="337">
        <v>-7</v>
      </c>
      <c r="N34" s="337">
        <v>-10</v>
      </c>
      <c r="O34" s="337">
        <v>2</v>
      </c>
      <c r="P34" s="463"/>
      <c r="Q34" s="339">
        <v>-18</v>
      </c>
      <c r="R34" s="337">
        <v>23</v>
      </c>
      <c r="S34" s="337">
        <v>-12</v>
      </c>
      <c r="T34" s="337">
        <v>1</v>
      </c>
      <c r="U34" s="337">
        <v>-6</v>
      </c>
      <c r="V34" s="463"/>
      <c r="W34" s="339">
        <v>18</v>
      </c>
      <c r="X34" s="337">
        <v>-17</v>
      </c>
      <c r="Y34" s="337">
        <v>20</v>
      </c>
      <c r="Z34" s="337">
        <v>-3</v>
      </c>
      <c r="AA34" s="337">
        <v>18</v>
      </c>
      <c r="AB34" s="463"/>
      <c r="AC34" s="346">
        <v>-41</v>
      </c>
      <c r="AD34" s="356">
        <v>2</v>
      </c>
      <c r="AE34" s="356">
        <v>-4</v>
      </c>
      <c r="AF34" s="337">
        <v>5</v>
      </c>
      <c r="AG34" s="337">
        <v>-38</v>
      </c>
      <c r="AH34" s="463"/>
      <c r="AI34" s="346">
        <v>5</v>
      </c>
      <c r="AJ34" s="356">
        <v>-2</v>
      </c>
      <c r="AK34" s="357">
        <v>3</v>
      </c>
      <c r="AL34" s="337">
        <v>53</v>
      </c>
      <c r="AM34" s="337">
        <v>59</v>
      </c>
      <c r="AN34" s="463"/>
      <c r="AO34" s="424">
        <v>-40</v>
      </c>
      <c r="AP34" s="356">
        <v>-9</v>
      </c>
      <c r="AQ34" s="337">
        <v>-19</v>
      </c>
      <c r="AR34" s="337">
        <v>-90</v>
      </c>
      <c r="AS34" s="337">
        <v>-158</v>
      </c>
      <c r="AT34" s="464"/>
      <c r="AU34" s="337">
        <v>-3</v>
      </c>
      <c r="AV34" s="337">
        <v>-29</v>
      </c>
      <c r="AW34" s="337">
        <v>-39</v>
      </c>
      <c r="AX34" s="337">
        <v>44</v>
      </c>
      <c r="AY34" s="337">
        <v>-27</v>
      </c>
      <c r="AZ34" s="464"/>
      <c r="BA34" s="337">
        <v>-9</v>
      </c>
      <c r="BB34" s="337">
        <v>26</v>
      </c>
      <c r="BC34" s="420">
        <v>-34</v>
      </c>
    </row>
    <row r="35" spans="1:55" ht="12" customHeight="1">
      <c r="A35" s="598" t="s">
        <v>191</v>
      </c>
      <c r="B35" s="6"/>
      <c r="C35" s="339">
        <v>864</v>
      </c>
      <c r="D35"/>
      <c r="E35" s="339">
        <v>475</v>
      </c>
      <c r="F35" s="337">
        <v>876</v>
      </c>
      <c r="G35" s="337">
        <v>780</v>
      </c>
      <c r="H35" s="337">
        <v>941</v>
      </c>
      <c r="I35" s="337">
        <v>475</v>
      </c>
      <c r="J35"/>
      <c r="K35" s="339">
        <v>461</v>
      </c>
      <c r="L35" s="337">
        <v>589</v>
      </c>
      <c r="M35" s="337">
        <v>698</v>
      </c>
      <c r="N35" s="337">
        <v>731</v>
      </c>
      <c r="O35" s="337">
        <v>461</v>
      </c>
      <c r="P35"/>
      <c r="Q35" s="339">
        <v>860</v>
      </c>
      <c r="R35" s="337">
        <v>624</v>
      </c>
      <c r="S35" s="337">
        <v>446</v>
      </c>
      <c r="T35" s="337">
        <v>407</v>
      </c>
      <c r="U35" s="337">
        <v>860</v>
      </c>
      <c r="V35"/>
      <c r="W35" s="339">
        <v>586</v>
      </c>
      <c r="X35" s="337">
        <v>523</v>
      </c>
      <c r="Y35" s="337">
        <v>610</v>
      </c>
      <c r="Z35" s="337">
        <v>789</v>
      </c>
      <c r="AA35" s="337">
        <v>586</v>
      </c>
      <c r="AB35"/>
      <c r="AC35" s="339">
        <v>957</v>
      </c>
      <c r="AD35" s="356">
        <v>590</v>
      </c>
      <c r="AE35" s="356">
        <v>1106</v>
      </c>
      <c r="AF35" s="337">
        <v>748</v>
      </c>
      <c r="AG35" s="337">
        <v>957</v>
      </c>
      <c r="AH35"/>
      <c r="AI35" s="339">
        <v>1016</v>
      </c>
      <c r="AJ35" s="356">
        <v>2198</v>
      </c>
      <c r="AK35" s="356">
        <v>1951</v>
      </c>
      <c r="AL35" s="337">
        <v>1119</v>
      </c>
      <c r="AM35" s="337">
        <v>1016</v>
      </c>
      <c r="AN35"/>
      <c r="AO35" s="382">
        <v>2522</v>
      </c>
      <c r="AP35" s="356">
        <v>1566</v>
      </c>
      <c r="AQ35" s="337">
        <v>1268</v>
      </c>
      <c r="AR35" s="337">
        <v>568</v>
      </c>
      <c r="AS35" s="337">
        <v>2522</v>
      </c>
      <c r="AT35" s="446"/>
      <c r="AU35" s="337">
        <v>1904</v>
      </c>
      <c r="AV35" s="337">
        <v>3355</v>
      </c>
      <c r="AW35" s="337">
        <v>2635</v>
      </c>
      <c r="AX35" s="337">
        <v>2132</v>
      </c>
      <c r="AY35" s="337">
        <v>1904</v>
      </c>
      <c r="AZ35" s="446"/>
      <c r="BA35" s="337">
        <v>1200</v>
      </c>
      <c r="BB35" s="337">
        <v>1574</v>
      </c>
      <c r="BC35" s="427">
        <v>1879</v>
      </c>
    </row>
    <row r="36" spans="1:55" ht="12" customHeight="1">
      <c r="A36" s="599" t="s">
        <v>192</v>
      </c>
      <c r="B36" s="335"/>
      <c r="C36" s="339">
        <v>475</v>
      </c>
      <c r="D36"/>
      <c r="E36" s="339">
        <v>876</v>
      </c>
      <c r="F36" s="337">
        <v>780</v>
      </c>
      <c r="G36" s="337">
        <v>941</v>
      </c>
      <c r="H36" s="337">
        <v>461</v>
      </c>
      <c r="I36" s="337">
        <v>461</v>
      </c>
      <c r="J36"/>
      <c r="K36" s="339">
        <v>589</v>
      </c>
      <c r="L36" s="337">
        <v>698</v>
      </c>
      <c r="M36" s="337">
        <v>731</v>
      </c>
      <c r="N36" s="337">
        <v>860</v>
      </c>
      <c r="O36" s="337">
        <v>860</v>
      </c>
      <c r="P36"/>
      <c r="Q36" s="339">
        <v>624</v>
      </c>
      <c r="R36" s="337">
        <v>446</v>
      </c>
      <c r="S36" s="337">
        <v>407</v>
      </c>
      <c r="T36" s="337">
        <v>586</v>
      </c>
      <c r="U36" s="337">
        <v>586</v>
      </c>
      <c r="V36"/>
      <c r="W36" s="339">
        <v>523</v>
      </c>
      <c r="X36" s="337">
        <v>610</v>
      </c>
      <c r="Y36" s="337">
        <v>789</v>
      </c>
      <c r="Z36" s="337">
        <v>957</v>
      </c>
      <c r="AA36" s="337">
        <v>957</v>
      </c>
      <c r="AB36"/>
      <c r="AC36" s="339">
        <v>590</v>
      </c>
      <c r="AD36" s="356">
        <v>1106</v>
      </c>
      <c r="AE36" s="356">
        <v>748</v>
      </c>
      <c r="AF36" s="337">
        <v>1016</v>
      </c>
      <c r="AG36" s="337">
        <v>1016</v>
      </c>
      <c r="AH36"/>
      <c r="AI36" s="339">
        <v>2198</v>
      </c>
      <c r="AJ36" s="356">
        <v>1951</v>
      </c>
      <c r="AK36" s="356">
        <v>1119</v>
      </c>
      <c r="AL36" s="337">
        <v>2522</v>
      </c>
      <c r="AM36" s="337">
        <v>2522</v>
      </c>
      <c r="AN36"/>
      <c r="AO36" s="382">
        <v>1566</v>
      </c>
      <c r="AP36" s="356">
        <v>1268</v>
      </c>
      <c r="AQ36" s="337">
        <v>568</v>
      </c>
      <c r="AR36" s="337">
        <v>1904</v>
      </c>
      <c r="AS36" s="337">
        <v>1904</v>
      </c>
      <c r="AT36" s="446"/>
      <c r="AU36" s="337">
        <v>3355</v>
      </c>
      <c r="AV36" s="337">
        <v>2635</v>
      </c>
      <c r="AW36" s="337">
        <v>2132</v>
      </c>
      <c r="AX36" s="337">
        <v>1200</v>
      </c>
      <c r="AY36" s="337">
        <v>1200</v>
      </c>
      <c r="AZ36" s="446"/>
      <c r="BA36" s="337">
        <v>1574</v>
      </c>
      <c r="BB36" s="337">
        <v>1879</v>
      </c>
      <c r="BC36" s="427">
        <v>1403</v>
      </c>
    </row>
    <row r="37" spans="1:55" ht="13.5">
      <c r="A37"/>
      <c r="B37"/>
      <c r="C37" s="61"/>
      <c r="D37"/>
      <c r="E37" s="61"/>
      <c r="F37" s="61"/>
      <c r="G37" s="61"/>
      <c r="H37" s="61"/>
      <c r="I37" s="61"/>
      <c r="J37"/>
      <c r="K37" s="61"/>
      <c r="L37" s="61"/>
      <c r="M37" s="61"/>
      <c r="N37" s="61"/>
      <c r="O37" s="61"/>
      <c r="P37"/>
      <c r="Q37" s="61"/>
      <c r="R37" s="61"/>
      <c r="S37" s="61"/>
      <c r="T37" s="61"/>
      <c r="U37" s="61"/>
      <c r="V37"/>
      <c r="W37" s="354"/>
      <c r="X37" s="354"/>
      <c r="Y37" s="354"/>
      <c r="Z37" s="354"/>
      <c r="AA37" s="354"/>
      <c r="AB37" s="354">
        <v>0</v>
      </c>
      <c r="AC37" s="366"/>
      <c r="AD37" s="366"/>
      <c r="AE37" s="367"/>
      <c r="AF37" s="354"/>
      <c r="AG37" s="354"/>
      <c r="AH37" s="354"/>
      <c r="AI37" s="366"/>
      <c r="AJ37" s="361"/>
      <c r="AK37" s="366"/>
      <c r="AL37" s="354"/>
      <c r="AM37" s="354"/>
      <c r="AN37" s="354"/>
      <c r="AO37" s="367"/>
      <c r="AP37" s="361"/>
      <c r="AQ37" s="354"/>
      <c r="AR37" s="354"/>
      <c r="AS37" s="354"/>
      <c r="AT37" s="354"/>
      <c r="AU37" s="354"/>
      <c r="AV37" s="354"/>
      <c r="AW37" s="354"/>
      <c r="AX37" s="354"/>
      <c r="AY37" s="354"/>
      <c r="AZ37" s="354"/>
      <c r="BA37" s="354"/>
      <c r="BB37" s="354"/>
      <c r="BC37" s="354"/>
    </row>
    <row r="38" spans="1:55" ht="21" customHeight="1">
      <c r="A38" s="605" t="s">
        <v>193</v>
      </c>
      <c r="B38"/>
      <c r="C38" s="63"/>
      <c r="D38"/>
      <c r="E38" s="348"/>
      <c r="F38" s="348"/>
      <c r="G38" s="348"/>
      <c r="H38" s="348"/>
      <c r="I38" s="349"/>
      <c r="J38"/>
      <c r="K38" s="348"/>
      <c r="L38" s="348"/>
      <c r="M38" s="348"/>
      <c r="N38" s="348"/>
      <c r="O38" s="349"/>
      <c r="P38"/>
      <c r="Q38" s="348"/>
      <c r="R38" s="348"/>
      <c r="S38" s="348"/>
      <c r="T38" s="348"/>
      <c r="U38" s="349"/>
      <c r="V38"/>
      <c r="W38" s="348"/>
      <c r="X38" s="348"/>
      <c r="Y38" s="348"/>
      <c r="Z38" s="348"/>
      <c r="AA38" s="349"/>
      <c r="AB38"/>
      <c r="AC38" s="63"/>
      <c r="AD38" s="350"/>
      <c r="AE38" s="363"/>
      <c r="AF38" s="348"/>
      <c r="AG38" s="349"/>
      <c r="AH38"/>
      <c r="AI38" s="63"/>
      <c r="AJ38" s="363"/>
      <c r="AK38" s="63"/>
      <c r="AL38" s="348"/>
      <c r="AM38" s="349"/>
      <c r="AN38"/>
      <c r="AO38" s="375"/>
      <c r="AP38" s="375"/>
      <c r="AQ38" s="349"/>
      <c r="AR38" s="349"/>
      <c r="AS38" s="349"/>
      <c r="AT38"/>
      <c r="AU38" s="349"/>
      <c r="AV38" s="349"/>
      <c r="AW38" s="349"/>
      <c r="AX38" s="349"/>
      <c r="AY38" s="349"/>
      <c r="AZ38"/>
      <c r="BA38" s="349"/>
      <c r="BB38" s="349"/>
      <c r="BC38" s="349"/>
    </row>
    <row r="39" spans="1:55" ht="12.75">
      <c r="A39" s="606" t="s">
        <v>22</v>
      </c>
      <c r="B39"/>
      <c r="C39" s="341">
        <v>2203</v>
      </c>
      <c r="D39"/>
      <c r="E39" s="344">
        <v>659</v>
      </c>
      <c r="F39" s="340">
        <v>487</v>
      </c>
      <c r="G39" s="340">
        <v>596</v>
      </c>
      <c r="H39" s="340">
        <v>739</v>
      </c>
      <c r="I39" s="345">
        <v>2481</v>
      </c>
      <c r="J39"/>
      <c r="K39" s="344">
        <v>820</v>
      </c>
      <c r="L39" s="340">
        <v>611</v>
      </c>
      <c r="M39" s="340">
        <v>576</v>
      </c>
      <c r="N39" s="340">
        <v>597</v>
      </c>
      <c r="O39" s="345">
        <v>2604</v>
      </c>
      <c r="P39"/>
      <c r="Q39" s="344">
        <v>611</v>
      </c>
      <c r="R39" s="340">
        <v>372</v>
      </c>
      <c r="S39" s="340">
        <v>377</v>
      </c>
      <c r="T39" s="340">
        <v>631</v>
      </c>
      <c r="U39" s="345">
        <v>1991</v>
      </c>
      <c r="V39"/>
      <c r="W39" s="344">
        <v>571</v>
      </c>
      <c r="X39" s="340">
        <v>390</v>
      </c>
      <c r="Y39" s="340">
        <v>426</v>
      </c>
      <c r="Z39" s="340">
        <v>520</v>
      </c>
      <c r="AA39" s="345">
        <v>1907</v>
      </c>
      <c r="AB39"/>
      <c r="AC39" s="341">
        <v>845</v>
      </c>
      <c r="AD39" s="397">
        <v>467</v>
      </c>
      <c r="AE39" s="397">
        <v>462</v>
      </c>
      <c r="AF39" s="340">
        <v>592</v>
      </c>
      <c r="AG39" s="345">
        <v>2366</v>
      </c>
      <c r="AH39"/>
      <c r="AI39" s="341">
        <v>744</v>
      </c>
      <c r="AJ39" s="397">
        <v>464</v>
      </c>
      <c r="AK39" s="397">
        <v>633</v>
      </c>
      <c r="AL39" s="340">
        <v>591</v>
      </c>
      <c r="AM39" s="345">
        <v>2432</v>
      </c>
      <c r="AN39"/>
      <c r="AO39" s="381">
        <v>663</v>
      </c>
      <c r="AP39" s="397">
        <v>544</v>
      </c>
      <c r="AQ39" s="345">
        <v>538</v>
      </c>
      <c r="AR39" s="345">
        <v>662</v>
      </c>
      <c r="AS39" s="345">
        <v>2407</v>
      </c>
      <c r="AT39" s="446"/>
      <c r="AU39" s="345">
        <v>781</v>
      </c>
      <c r="AV39" s="345">
        <v>568</v>
      </c>
      <c r="AW39" s="345">
        <v>647</v>
      </c>
      <c r="AX39" s="345">
        <v>735</v>
      </c>
      <c r="AY39" s="345">
        <v>2731</v>
      </c>
      <c r="AZ39"/>
      <c r="BA39" s="345">
        <v>883</v>
      </c>
      <c r="BB39" s="345">
        <v>684</v>
      </c>
      <c r="BC39" s="427">
        <v>610</v>
      </c>
    </row>
    <row r="40" spans="1:55" ht="12.75">
      <c r="A40" s="606" t="s">
        <v>23</v>
      </c>
      <c r="B40"/>
      <c r="C40" s="341">
        <v>924</v>
      </c>
      <c r="D40"/>
      <c r="E40" s="341">
        <v>217</v>
      </c>
      <c r="F40" s="338">
        <v>219</v>
      </c>
      <c r="G40" s="338">
        <v>253</v>
      </c>
      <c r="H40" s="338">
        <v>412</v>
      </c>
      <c r="I40" s="337">
        <v>1101</v>
      </c>
      <c r="J40"/>
      <c r="K40" s="341">
        <v>176</v>
      </c>
      <c r="L40" s="338">
        <v>127</v>
      </c>
      <c r="M40" s="338">
        <v>67</v>
      </c>
      <c r="N40" s="338">
        <v>60</v>
      </c>
      <c r="O40" s="337">
        <v>430</v>
      </c>
      <c r="P40"/>
      <c r="Q40" s="341">
        <v>83</v>
      </c>
      <c r="R40" s="338">
        <v>150</v>
      </c>
      <c r="S40" s="338">
        <v>135</v>
      </c>
      <c r="T40" s="338">
        <v>181</v>
      </c>
      <c r="U40" s="337">
        <v>549</v>
      </c>
      <c r="V40"/>
      <c r="W40" s="341">
        <v>133</v>
      </c>
      <c r="X40" s="338">
        <v>164</v>
      </c>
      <c r="Y40" s="338">
        <v>147</v>
      </c>
      <c r="Z40" s="338">
        <v>176</v>
      </c>
      <c r="AA40" s="337">
        <v>620</v>
      </c>
      <c r="AB40"/>
      <c r="AC40" s="341">
        <v>132</v>
      </c>
      <c r="AD40" s="397">
        <v>180</v>
      </c>
      <c r="AE40" s="397">
        <v>166</v>
      </c>
      <c r="AF40" s="338">
        <v>176</v>
      </c>
      <c r="AG40" s="337">
        <v>654</v>
      </c>
      <c r="AH40"/>
      <c r="AI40" s="341">
        <v>192</v>
      </c>
      <c r="AJ40" s="397">
        <v>104</v>
      </c>
      <c r="AK40" s="397">
        <v>135</v>
      </c>
      <c r="AL40" s="338">
        <v>166</v>
      </c>
      <c r="AM40" s="337">
        <v>597</v>
      </c>
      <c r="AN40"/>
      <c r="AO40" s="381">
        <v>173</v>
      </c>
      <c r="AP40" s="397">
        <v>238</v>
      </c>
      <c r="AQ40" s="337">
        <v>245</v>
      </c>
      <c r="AR40" s="337">
        <v>358</v>
      </c>
      <c r="AS40" s="337">
        <v>1014</v>
      </c>
      <c r="AT40" s="446"/>
      <c r="AU40" s="337">
        <v>263</v>
      </c>
      <c r="AV40" s="337">
        <v>231</v>
      </c>
      <c r="AW40" s="337">
        <v>259</v>
      </c>
      <c r="AX40" s="337">
        <v>160</v>
      </c>
      <c r="AY40" s="337">
        <v>913</v>
      </c>
      <c r="AZ40"/>
      <c r="BA40" s="337">
        <v>203</v>
      </c>
      <c r="BB40" s="337">
        <v>135</v>
      </c>
      <c r="BC40" s="427">
        <v>222</v>
      </c>
    </row>
    <row r="41" spans="1:55" ht="12.75">
      <c r="A41" s="606" t="s">
        <v>24</v>
      </c>
      <c r="B41" s="351"/>
      <c r="C41" s="341">
        <v>2745</v>
      </c>
      <c r="D41" s="351"/>
      <c r="E41" s="341">
        <v>443</v>
      </c>
      <c r="F41" s="338">
        <v>190</v>
      </c>
      <c r="G41" s="338">
        <v>256</v>
      </c>
      <c r="H41" s="338">
        <v>230</v>
      </c>
      <c r="I41" s="337">
        <v>1119</v>
      </c>
      <c r="J41" s="351"/>
      <c r="K41" s="341">
        <v>246</v>
      </c>
      <c r="L41" s="338">
        <v>105</v>
      </c>
      <c r="M41" s="338">
        <v>106</v>
      </c>
      <c r="N41" s="338">
        <v>129</v>
      </c>
      <c r="O41" s="337">
        <v>586</v>
      </c>
      <c r="P41" s="351"/>
      <c r="Q41" s="341">
        <v>147</v>
      </c>
      <c r="R41" s="338">
        <v>135</v>
      </c>
      <c r="S41" s="338">
        <v>100</v>
      </c>
      <c r="T41" s="338">
        <v>182</v>
      </c>
      <c r="U41" s="337">
        <v>564</v>
      </c>
      <c r="V41" s="351"/>
      <c r="W41" s="341">
        <v>139</v>
      </c>
      <c r="X41" s="338">
        <v>168</v>
      </c>
      <c r="Y41" s="338">
        <v>145</v>
      </c>
      <c r="Z41" s="338">
        <v>120</v>
      </c>
      <c r="AA41" s="337">
        <v>572</v>
      </c>
      <c r="AB41" s="351"/>
      <c r="AC41" s="341">
        <v>137</v>
      </c>
      <c r="AD41" s="397">
        <v>157</v>
      </c>
      <c r="AE41" s="397">
        <v>169</v>
      </c>
      <c r="AF41" s="338">
        <v>166</v>
      </c>
      <c r="AG41" s="337">
        <v>629</v>
      </c>
      <c r="AH41" s="351"/>
      <c r="AI41" s="341">
        <v>150</v>
      </c>
      <c r="AJ41" s="397">
        <v>106</v>
      </c>
      <c r="AK41" s="397">
        <v>120</v>
      </c>
      <c r="AL41" s="338">
        <v>168</v>
      </c>
      <c r="AM41" s="337">
        <v>544</v>
      </c>
      <c r="AN41" s="351"/>
      <c r="AO41" s="381">
        <v>147</v>
      </c>
      <c r="AP41" s="397">
        <v>154</v>
      </c>
      <c r="AQ41" s="337">
        <v>141</v>
      </c>
      <c r="AR41" s="337">
        <v>163</v>
      </c>
      <c r="AS41" s="337">
        <v>605</v>
      </c>
      <c r="AT41" s="447"/>
      <c r="AU41" s="337">
        <v>342</v>
      </c>
      <c r="AV41" s="337">
        <v>182</v>
      </c>
      <c r="AW41" s="337">
        <v>211</v>
      </c>
      <c r="AX41" s="337">
        <v>296</v>
      </c>
      <c r="AY41" s="337">
        <v>1031</v>
      </c>
      <c r="AZ41" s="351"/>
      <c r="BA41" s="337">
        <v>327</v>
      </c>
      <c r="BB41" s="337">
        <v>261</v>
      </c>
      <c r="BC41" s="427">
        <v>233</v>
      </c>
    </row>
    <row r="42" spans="1:55" ht="12.75">
      <c r="A42"/>
      <c r="B42"/>
      <c r="C42" s="53"/>
      <c r="D42"/>
      <c r="E42" s="53"/>
      <c r="F42" s="53"/>
      <c r="G42" s="53"/>
      <c r="H42" s="53"/>
      <c r="I42" s="53"/>
      <c r="J42"/>
      <c r="K42" s="53"/>
      <c r="L42" s="53"/>
      <c r="M42" s="53"/>
      <c r="N42" s="53"/>
      <c r="O42" s="53"/>
      <c r="P42"/>
      <c r="Q42" s="53"/>
      <c r="R42" s="53"/>
      <c r="S42" s="53"/>
      <c r="T42" s="53"/>
      <c r="U42" s="53"/>
      <c r="V42"/>
      <c r="W42" s="53"/>
      <c r="X42" s="53"/>
      <c r="Y42" s="53"/>
      <c r="Z42" s="53"/>
      <c r="AA42" s="53"/>
      <c r="AB42" s="53"/>
      <c r="AC42" s="53"/>
      <c r="AD42" s="352"/>
      <c r="AE42" s="352"/>
      <c r="AF42" s="53"/>
      <c r="AG42" s="53"/>
      <c r="AH42" s="53"/>
      <c r="AI42" s="352"/>
      <c r="AJ42" s="369"/>
      <c r="AK42"/>
      <c r="AL42" s="53"/>
      <c r="AM42" s="53"/>
      <c r="AN42" s="53"/>
      <c r="AO42"/>
      <c r="AP42"/>
      <c r="AQ42" s="53"/>
      <c r="AR42" s="53"/>
      <c r="AS42" s="53"/>
      <c r="AT42" s="53"/>
      <c r="AU42" s="53"/>
      <c r="AV42" s="53"/>
      <c r="AW42" s="53"/>
      <c r="AX42" s="53"/>
      <c r="AY42" s="53"/>
      <c r="AZ42" s="53"/>
      <c r="BA42" s="53"/>
      <c r="BB42" s="53"/>
      <c r="BC42"/>
    </row>
  </sheetData>
  <sheetProtection/>
  <printOptions/>
  <pageMargins left="0.7" right="0.7" top="0.75" bottom="0.75" header="0.3" footer="0.3"/>
  <pageSetup fitToHeight="1" fitToWidth="1" horizontalDpi="600" verticalDpi="600" orientation="landscape" paperSize="8" scale="46" r:id="rId1"/>
  <ignoredErrors>
    <ignoredError sqref="I2 O2"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106" zoomScaleNormal="106" zoomScalePageLayoutView="0" workbookViewId="0" topLeftCell="A1">
      <pane xSplit="3" ySplit="3" topLeftCell="AI13" activePane="bottomRight" state="frozen"/>
      <selection pane="topLeft" activeCell="A1" sqref="A1"/>
      <selection pane="topRight" activeCell="D1" sqref="D1"/>
      <selection pane="bottomLeft" activeCell="A4" sqref="A4"/>
      <selection pane="bottomRight" activeCell="AZ24" sqref="AZ24"/>
    </sheetView>
  </sheetViews>
  <sheetFormatPr defaultColWidth="8.57421875" defaultRowHeight="12" customHeight="1"/>
  <cols>
    <col min="1" max="1" width="3.7109375" style="557" customWidth="1"/>
    <col min="2" max="2" width="49.7109375" style="502" customWidth="1"/>
    <col min="3" max="3" width="0.5625" style="502" customWidth="1"/>
    <col min="4" max="4" width="10.140625" style="488" customWidth="1"/>
    <col min="5" max="5" width="0.9921875" style="0" hidden="1" customWidth="1"/>
    <col min="6" max="6" width="9.140625" style="488" customWidth="1"/>
    <col min="7" max="7" width="0.9921875" style="0" customWidth="1"/>
    <col min="8" max="11" width="9.421875" style="488" customWidth="1"/>
    <col min="12" max="12" width="0.9921875" style="0" customWidth="1"/>
    <col min="13" max="16" width="9.421875" style="488" customWidth="1"/>
    <col min="17" max="17" width="0.9921875" style="0" customWidth="1"/>
    <col min="18" max="21" width="8.57421875" style="488" customWidth="1"/>
    <col min="22" max="22" width="0.9921875" style="0" customWidth="1"/>
    <col min="23" max="26" width="8.57421875" style="488" customWidth="1"/>
    <col min="27" max="27" width="0.9921875" style="0" customWidth="1"/>
    <col min="28" max="28" width="8.57421875" style="488" customWidth="1"/>
    <col min="29" max="29" width="8.00390625" style="177" customWidth="1"/>
    <col min="30" max="30" width="8.00390625" style="488" customWidth="1"/>
    <col min="31" max="31" width="8.57421875" style="488" customWidth="1"/>
    <col min="32" max="32" width="0.9921875" style="0" customWidth="1"/>
    <col min="33" max="33" width="8.57421875" style="488" customWidth="1"/>
    <col min="34" max="42" width="8.57421875" style="177" customWidth="1"/>
    <col min="43" max="118" width="8.57421875" style="488" customWidth="1"/>
    <col min="119" max="16384" width="8.57421875" style="488" customWidth="1"/>
  </cols>
  <sheetData>
    <row r="1" spans="1:2" ht="31.5" customHeight="1">
      <c r="A1" s="664" t="s">
        <v>194</v>
      </c>
      <c r="B1" s="664"/>
    </row>
    <row r="2" spans="1:3" ht="12" customHeight="1">
      <c r="A2" s="666"/>
      <c r="B2" s="666"/>
      <c r="C2" s="493"/>
    </row>
    <row r="3" spans="1:43" ht="12" customHeight="1">
      <c r="A3" s="669" t="s">
        <v>195</v>
      </c>
      <c r="B3" s="669"/>
      <c r="C3" s="493"/>
      <c r="D3" s="545">
        <v>2014</v>
      </c>
      <c r="F3" s="545">
        <v>2015</v>
      </c>
      <c r="H3" s="545" t="s">
        <v>8</v>
      </c>
      <c r="I3" s="545" t="s">
        <v>9</v>
      </c>
      <c r="J3" s="545" t="s">
        <v>10</v>
      </c>
      <c r="K3" s="545">
        <v>2016</v>
      </c>
      <c r="M3" s="545" t="s">
        <v>16</v>
      </c>
      <c r="N3" s="545" t="s">
        <v>17</v>
      </c>
      <c r="O3" s="545" t="s">
        <v>20</v>
      </c>
      <c r="P3" s="545">
        <v>2017</v>
      </c>
      <c r="R3" s="545" t="s">
        <v>27</v>
      </c>
      <c r="S3" s="545" t="s">
        <v>29</v>
      </c>
      <c r="T3" s="545" t="s">
        <v>32</v>
      </c>
      <c r="U3" s="545">
        <v>2018</v>
      </c>
      <c r="W3" s="545" t="s">
        <v>39</v>
      </c>
      <c r="X3" s="545" t="s">
        <v>40</v>
      </c>
      <c r="Y3" s="545" t="s">
        <v>44</v>
      </c>
      <c r="Z3" s="545">
        <v>2019</v>
      </c>
      <c r="AB3" s="545" t="s">
        <v>46</v>
      </c>
      <c r="AC3" s="546" t="s">
        <v>47</v>
      </c>
      <c r="AD3" s="546" t="s">
        <v>48</v>
      </c>
      <c r="AE3" s="546">
        <v>2020</v>
      </c>
      <c r="AG3" s="546" t="s">
        <v>51</v>
      </c>
      <c r="AH3" s="546" t="s">
        <v>54</v>
      </c>
      <c r="AI3" s="546" t="s">
        <v>55</v>
      </c>
      <c r="AJ3" s="546">
        <v>2021</v>
      </c>
      <c r="AK3" s="546" t="s">
        <v>57</v>
      </c>
      <c r="AL3" s="546" t="s">
        <v>58</v>
      </c>
      <c r="AM3" s="546" t="s">
        <v>59</v>
      </c>
      <c r="AN3" s="546">
        <v>2022</v>
      </c>
      <c r="AO3" s="546" t="s">
        <v>62</v>
      </c>
      <c r="AP3" s="546" t="s">
        <v>63</v>
      </c>
      <c r="AQ3" s="546" t="s">
        <v>64</v>
      </c>
    </row>
    <row r="4" spans="1:43" ht="12" customHeight="1">
      <c r="A4" s="608" t="s">
        <v>196</v>
      </c>
      <c r="B4" s="582"/>
      <c r="D4" s="504">
        <v>14876</v>
      </c>
      <c r="F4" s="503">
        <v>14273</v>
      </c>
      <c r="H4" s="503">
        <v>14421</v>
      </c>
      <c r="I4" s="504">
        <v>14821</v>
      </c>
      <c r="J4" s="504">
        <v>15098</v>
      </c>
      <c r="K4" s="504">
        <v>15217</v>
      </c>
      <c r="M4" s="503">
        <v>15301</v>
      </c>
      <c r="N4" s="504">
        <v>15359</v>
      </c>
      <c r="O4" s="504">
        <v>15571</v>
      </c>
      <c r="P4" s="504">
        <v>16296</v>
      </c>
      <c r="R4" s="503">
        <v>16305</v>
      </c>
      <c r="S4" s="504">
        <v>16469</v>
      </c>
      <c r="T4" s="504">
        <v>16660</v>
      </c>
      <c r="U4" s="504">
        <v>17507</v>
      </c>
      <c r="W4" s="503">
        <v>18126</v>
      </c>
      <c r="X4" s="397">
        <v>18632</v>
      </c>
      <c r="Y4" s="397">
        <v>19221</v>
      </c>
      <c r="Z4" s="397">
        <v>19498</v>
      </c>
      <c r="AB4" s="503">
        <v>19793</v>
      </c>
      <c r="AC4" s="397">
        <v>19945</v>
      </c>
      <c r="AD4" s="397">
        <v>20291</v>
      </c>
      <c r="AE4" s="504">
        <v>20576</v>
      </c>
      <c r="AG4" s="397">
        <v>20676</v>
      </c>
      <c r="AH4" s="397">
        <v>21033</v>
      </c>
      <c r="AI4" s="397">
        <v>21296</v>
      </c>
      <c r="AJ4" s="397">
        <v>21564</v>
      </c>
      <c r="AK4" s="397">
        <v>21414</v>
      </c>
      <c r="AL4" s="397">
        <v>22181</v>
      </c>
      <c r="AM4" s="397">
        <v>22768</v>
      </c>
      <c r="AN4" s="397">
        <v>22894</v>
      </c>
      <c r="AO4" s="397">
        <v>22957</v>
      </c>
      <c r="AP4" s="397">
        <v>23069</v>
      </c>
      <c r="AQ4" s="272">
        <v>23692</v>
      </c>
    </row>
    <row r="5" spans="1:43" ht="12" customHeight="1">
      <c r="A5" s="608" t="s">
        <v>197</v>
      </c>
      <c r="B5" s="582"/>
      <c r="D5" s="504">
        <v>2700</v>
      </c>
      <c r="F5" s="503">
        <v>3130</v>
      </c>
      <c r="H5" s="503">
        <v>3199</v>
      </c>
      <c r="I5" s="504">
        <v>3301</v>
      </c>
      <c r="J5" s="504">
        <v>3298</v>
      </c>
      <c r="K5" s="504">
        <v>2474</v>
      </c>
      <c r="M5" s="503">
        <v>2395</v>
      </c>
      <c r="N5" s="504">
        <v>2309</v>
      </c>
      <c r="O5" s="504">
        <v>2325</v>
      </c>
      <c r="P5" s="504">
        <v>1447</v>
      </c>
      <c r="R5" s="503">
        <v>1456</v>
      </c>
      <c r="S5" s="504">
        <v>1557</v>
      </c>
      <c r="T5" s="504">
        <v>1628</v>
      </c>
      <c r="U5" s="504">
        <v>1657</v>
      </c>
      <c r="W5" s="503">
        <v>1654</v>
      </c>
      <c r="X5" s="397">
        <v>1715</v>
      </c>
      <c r="Y5" s="397">
        <v>1826</v>
      </c>
      <c r="Z5" s="397">
        <v>1966</v>
      </c>
      <c r="AB5" s="503">
        <v>2197</v>
      </c>
      <c r="AC5" s="397">
        <v>2076</v>
      </c>
      <c r="AD5" s="397">
        <v>2048</v>
      </c>
      <c r="AE5" s="504">
        <v>2024</v>
      </c>
      <c r="AG5" s="397">
        <v>2120</v>
      </c>
      <c r="AH5" s="397">
        <v>1875</v>
      </c>
      <c r="AI5" s="397">
        <v>1989</v>
      </c>
      <c r="AJ5" s="397">
        <v>2316</v>
      </c>
      <c r="AK5" s="397">
        <v>2370</v>
      </c>
      <c r="AL5" s="397">
        <v>2647</v>
      </c>
      <c r="AM5" s="397">
        <v>2905</v>
      </c>
      <c r="AN5" s="397">
        <v>2772</v>
      </c>
      <c r="AO5" s="397">
        <v>2858</v>
      </c>
      <c r="AP5" s="397">
        <v>2891</v>
      </c>
      <c r="AQ5" s="272">
        <v>3081</v>
      </c>
    </row>
    <row r="6" spans="1:43" ht="12" customHeight="1">
      <c r="A6" s="665" t="s">
        <v>198</v>
      </c>
      <c r="B6" s="665"/>
      <c r="D6" s="504">
        <v>17576</v>
      </c>
      <c r="F6" s="503">
        <f>F4+F5</f>
        <v>17403</v>
      </c>
      <c r="H6" s="503">
        <f>H4+H5</f>
        <v>17620</v>
      </c>
      <c r="I6" s="504">
        <f>I4+I5</f>
        <v>18122</v>
      </c>
      <c r="J6" s="504">
        <f>J4+J5</f>
        <v>18396</v>
      </c>
      <c r="K6" s="504">
        <f>K4+K5</f>
        <v>17691</v>
      </c>
      <c r="M6" s="503">
        <f>M4+M5</f>
        <v>17696</v>
      </c>
      <c r="N6" s="504">
        <f>N4+N5</f>
        <v>17668</v>
      </c>
      <c r="O6" s="504">
        <v>17896</v>
      </c>
      <c r="P6" s="504">
        <f>SUM(P4:P5)</f>
        <v>17743</v>
      </c>
      <c r="R6" s="503">
        <f>R4+R5</f>
        <v>17761</v>
      </c>
      <c r="S6" s="504">
        <f>S4+S5</f>
        <v>18026</v>
      </c>
      <c r="T6" s="504">
        <f>T4+T5</f>
        <v>18288</v>
      </c>
      <c r="U6" s="504">
        <f>U4+U5</f>
        <v>19164</v>
      </c>
      <c r="W6" s="503">
        <f>W4+W5</f>
        <v>19780</v>
      </c>
      <c r="X6" s="397">
        <v>20347</v>
      </c>
      <c r="Y6" s="397">
        <f>Y4+Y5</f>
        <v>21047</v>
      </c>
      <c r="Z6" s="397">
        <v>21464</v>
      </c>
      <c r="AB6" s="503">
        <v>21990</v>
      </c>
      <c r="AC6" s="397">
        <v>22021</v>
      </c>
      <c r="AD6" s="397">
        <v>22339</v>
      </c>
      <c r="AE6" s="504">
        <v>22600</v>
      </c>
      <c r="AG6" s="397">
        <v>22796</v>
      </c>
      <c r="AH6" s="397">
        <v>22908</v>
      </c>
      <c r="AI6" s="397">
        <v>23285</v>
      </c>
      <c r="AJ6" s="397">
        <v>23880</v>
      </c>
      <c r="AK6" s="397">
        <v>23784</v>
      </c>
      <c r="AL6" s="397">
        <v>24828</v>
      </c>
      <c r="AM6" s="397">
        <v>25673</v>
      </c>
      <c r="AN6" s="397">
        <v>25666</v>
      </c>
      <c r="AO6" s="397">
        <v>25815</v>
      </c>
      <c r="AP6" s="397">
        <v>25960</v>
      </c>
      <c r="AQ6" s="272">
        <v>26773</v>
      </c>
    </row>
    <row r="7" spans="1:43" ht="12" customHeight="1">
      <c r="A7" s="608" t="s">
        <v>199</v>
      </c>
      <c r="B7" s="582"/>
      <c r="D7" s="504">
        <v>2745</v>
      </c>
      <c r="F7" s="503">
        <v>2653</v>
      </c>
      <c r="H7" s="503">
        <v>2776</v>
      </c>
      <c r="I7" s="504">
        <v>2828</v>
      </c>
      <c r="J7" s="504">
        <v>2707</v>
      </c>
      <c r="K7" s="504">
        <v>2591</v>
      </c>
      <c r="M7" s="503">
        <v>2543</v>
      </c>
      <c r="N7" s="504">
        <v>2599</v>
      </c>
      <c r="O7" s="504">
        <v>2632</v>
      </c>
      <c r="P7" s="504">
        <v>2679</v>
      </c>
      <c r="R7" s="503">
        <v>2682</v>
      </c>
      <c r="S7" s="504">
        <v>2746</v>
      </c>
      <c r="T7" s="504">
        <v>2725</v>
      </c>
      <c r="U7" s="504">
        <v>2789</v>
      </c>
      <c r="W7" s="503">
        <v>2930</v>
      </c>
      <c r="X7" s="397">
        <v>2945</v>
      </c>
      <c r="Y7" s="397">
        <v>2968</v>
      </c>
      <c r="Z7" s="397">
        <v>2829</v>
      </c>
      <c r="AB7" s="503">
        <v>2852</v>
      </c>
      <c r="AC7" s="397">
        <v>2779</v>
      </c>
      <c r="AD7" s="397">
        <v>2795</v>
      </c>
      <c r="AE7" s="504">
        <v>2857</v>
      </c>
      <c r="AG7" s="397">
        <v>2853</v>
      </c>
      <c r="AH7" s="397">
        <v>2748</v>
      </c>
      <c r="AI7" s="397">
        <v>2896</v>
      </c>
      <c r="AJ7" s="397">
        <v>2593</v>
      </c>
      <c r="AK7" s="397">
        <v>2646</v>
      </c>
      <c r="AL7" s="397">
        <v>2678</v>
      </c>
      <c r="AM7" s="397">
        <v>2792</v>
      </c>
      <c r="AN7" s="397">
        <v>2746</v>
      </c>
      <c r="AO7" s="397">
        <v>2713</v>
      </c>
      <c r="AP7" s="397">
        <v>2731</v>
      </c>
      <c r="AQ7" s="272">
        <v>2812</v>
      </c>
    </row>
    <row r="8" spans="1:43" ht="12" customHeight="1">
      <c r="A8" s="608" t="s">
        <v>200</v>
      </c>
      <c r="B8" s="582"/>
      <c r="D8" s="504">
        <v>218</v>
      </c>
      <c r="F8" s="503">
        <v>241</v>
      </c>
      <c r="H8" s="503">
        <v>202</v>
      </c>
      <c r="I8" s="504">
        <v>236</v>
      </c>
      <c r="J8" s="504">
        <v>197</v>
      </c>
      <c r="K8" s="504">
        <v>208</v>
      </c>
      <c r="M8" s="503">
        <v>222</v>
      </c>
      <c r="N8" s="504">
        <v>202</v>
      </c>
      <c r="O8" s="504">
        <v>201</v>
      </c>
      <c r="P8" s="504">
        <v>209</v>
      </c>
      <c r="R8" s="503">
        <v>221</v>
      </c>
      <c r="S8" s="504">
        <v>207</v>
      </c>
      <c r="T8" s="504">
        <v>207</v>
      </c>
      <c r="U8" s="504">
        <v>224</v>
      </c>
      <c r="W8" s="503">
        <v>287</v>
      </c>
      <c r="X8" s="397">
        <v>155</v>
      </c>
      <c r="Y8" s="397">
        <v>155</v>
      </c>
      <c r="Z8" s="397">
        <v>155</v>
      </c>
      <c r="AB8" s="503">
        <v>178</v>
      </c>
      <c r="AC8" s="397">
        <v>134</v>
      </c>
      <c r="AD8" s="397">
        <v>133</v>
      </c>
      <c r="AE8" s="504">
        <v>141</v>
      </c>
      <c r="AG8" s="397">
        <v>163</v>
      </c>
      <c r="AH8" s="397">
        <v>110</v>
      </c>
      <c r="AI8" s="397">
        <v>141</v>
      </c>
      <c r="AJ8" s="397">
        <v>250</v>
      </c>
      <c r="AK8" s="397">
        <v>277</v>
      </c>
      <c r="AL8" s="397">
        <v>173</v>
      </c>
      <c r="AM8" s="397">
        <v>209</v>
      </c>
      <c r="AN8" s="397">
        <v>218</v>
      </c>
      <c r="AO8" s="397">
        <v>292</v>
      </c>
      <c r="AP8" s="397">
        <v>193</v>
      </c>
      <c r="AQ8" s="272">
        <v>224</v>
      </c>
    </row>
    <row r="9" spans="1:43" ht="12" customHeight="1">
      <c r="A9" s="667" t="s">
        <v>201</v>
      </c>
      <c r="B9" s="667"/>
      <c r="C9" s="548"/>
      <c r="D9" s="504">
        <v>2963</v>
      </c>
      <c r="F9" s="503">
        <f>F7+F8</f>
        <v>2894</v>
      </c>
      <c r="H9" s="503">
        <f>H7+H8</f>
        <v>2978</v>
      </c>
      <c r="I9" s="504">
        <f>I7+I8</f>
        <v>3064</v>
      </c>
      <c r="J9" s="504">
        <f>J7+J8</f>
        <v>2904</v>
      </c>
      <c r="K9" s="504">
        <f>K7+K8</f>
        <v>2799</v>
      </c>
      <c r="M9" s="503">
        <f>M7+M8</f>
        <v>2765</v>
      </c>
      <c r="N9" s="504">
        <f>N7+N8</f>
        <v>2801</v>
      </c>
      <c r="O9" s="504">
        <v>2833</v>
      </c>
      <c r="P9" s="504">
        <f>SUM(P7:P8)</f>
        <v>2888</v>
      </c>
      <c r="R9" s="503">
        <f>R7+R8</f>
        <v>2903</v>
      </c>
      <c r="S9" s="504">
        <f>S7+S8</f>
        <v>2953</v>
      </c>
      <c r="T9" s="504">
        <f>T7+T8</f>
        <v>2932</v>
      </c>
      <c r="U9" s="504">
        <f>U7+U8</f>
        <v>3013</v>
      </c>
      <c r="W9" s="503">
        <f>W7+W8</f>
        <v>3217</v>
      </c>
      <c r="X9" s="397">
        <v>3100</v>
      </c>
      <c r="Y9" s="397">
        <f>Y7+Y8</f>
        <v>3123</v>
      </c>
      <c r="Z9" s="397">
        <v>2984</v>
      </c>
      <c r="AB9" s="503">
        <v>3030</v>
      </c>
      <c r="AC9" s="397">
        <v>2913</v>
      </c>
      <c r="AD9" s="397">
        <v>2928</v>
      </c>
      <c r="AE9" s="504">
        <v>2998</v>
      </c>
      <c r="AG9" s="397">
        <v>3016</v>
      </c>
      <c r="AH9" s="397">
        <v>2858</v>
      </c>
      <c r="AI9" s="397">
        <v>3037</v>
      </c>
      <c r="AJ9" s="397">
        <v>2843</v>
      </c>
      <c r="AK9" s="397">
        <v>2923</v>
      </c>
      <c r="AL9" s="397">
        <v>2851</v>
      </c>
      <c r="AM9" s="397">
        <v>3001</v>
      </c>
      <c r="AN9" s="397">
        <v>2964</v>
      </c>
      <c r="AO9" s="397">
        <v>3005</v>
      </c>
      <c r="AP9" s="397">
        <v>2924</v>
      </c>
      <c r="AQ9" s="272">
        <v>3036</v>
      </c>
    </row>
    <row r="10" spans="1:43" ht="12" customHeight="1">
      <c r="A10" s="608" t="s">
        <v>202</v>
      </c>
      <c r="B10" s="582"/>
      <c r="D10" s="504">
        <v>4363</v>
      </c>
      <c r="F10" s="503">
        <v>562</v>
      </c>
      <c r="H10" s="503">
        <v>498</v>
      </c>
      <c r="I10" s="504">
        <v>333</v>
      </c>
      <c r="J10" s="504">
        <v>73</v>
      </c>
      <c r="K10" s="504">
        <v>27</v>
      </c>
      <c r="M10" s="503">
        <v>27</v>
      </c>
      <c r="N10" s="504">
        <v>26</v>
      </c>
      <c r="O10" s="504">
        <v>26</v>
      </c>
      <c r="P10" s="504">
        <v>8</v>
      </c>
      <c r="R10" s="503">
        <v>8</v>
      </c>
      <c r="S10" s="504">
        <v>6</v>
      </c>
      <c r="T10" s="504">
        <v>5</v>
      </c>
      <c r="U10" s="504">
        <v>4</v>
      </c>
      <c r="W10" s="503">
        <v>4</v>
      </c>
      <c r="X10" s="397">
        <v>4</v>
      </c>
      <c r="Y10" s="397">
        <v>4</v>
      </c>
      <c r="Z10" s="397">
        <v>0</v>
      </c>
      <c r="AB10" s="503">
        <v>0</v>
      </c>
      <c r="AC10" s="397">
        <v>0</v>
      </c>
      <c r="AD10" s="397">
        <v>0</v>
      </c>
      <c r="AE10" s="504">
        <v>0</v>
      </c>
      <c r="AG10" s="397">
        <v>0</v>
      </c>
      <c r="AH10" s="397">
        <v>0</v>
      </c>
      <c r="AI10" s="397">
        <v>0</v>
      </c>
      <c r="AJ10" s="397">
        <v>0</v>
      </c>
      <c r="AK10" s="397">
        <v>0</v>
      </c>
      <c r="AL10" s="397">
        <v>0</v>
      </c>
      <c r="AM10" s="397">
        <v>0</v>
      </c>
      <c r="AN10" s="397">
        <v>0</v>
      </c>
      <c r="AO10" s="397">
        <v>0</v>
      </c>
      <c r="AP10" s="397">
        <v>0</v>
      </c>
      <c r="AQ10" s="272">
        <v>0</v>
      </c>
    </row>
    <row r="11" spans="1:43" ht="12" customHeight="1">
      <c r="A11" s="608" t="s">
        <v>178</v>
      </c>
      <c r="B11" s="582"/>
      <c r="D11" s="504">
        <v>6231</v>
      </c>
      <c r="F11" s="503">
        <v>7504</v>
      </c>
      <c r="H11" s="503">
        <v>7377</v>
      </c>
      <c r="I11" s="504">
        <v>7966</v>
      </c>
      <c r="J11" s="504">
        <v>7874</v>
      </c>
      <c r="K11" s="504">
        <v>4313</v>
      </c>
      <c r="M11" s="503">
        <v>4152</v>
      </c>
      <c r="N11" s="504">
        <v>3978</v>
      </c>
      <c r="O11" s="504">
        <v>3999</v>
      </c>
      <c r="P11" s="504">
        <v>3889</v>
      </c>
      <c r="R11" s="503">
        <v>3895</v>
      </c>
      <c r="S11" s="504">
        <v>4316</v>
      </c>
      <c r="T11" s="504">
        <v>4303</v>
      </c>
      <c r="U11" s="504">
        <v>5199</v>
      </c>
      <c r="W11" s="503">
        <v>5389</v>
      </c>
      <c r="X11" s="397">
        <v>5327</v>
      </c>
      <c r="Y11" s="397">
        <v>5796</v>
      </c>
      <c r="Z11" s="397">
        <v>5694</v>
      </c>
      <c r="AB11" s="503">
        <v>6317</v>
      </c>
      <c r="AC11" s="397">
        <v>6159</v>
      </c>
      <c r="AD11" s="397">
        <v>6075</v>
      </c>
      <c r="AE11" s="504">
        <v>6069</v>
      </c>
      <c r="AG11" s="397">
        <v>6508</v>
      </c>
      <c r="AH11" s="397">
        <v>7992</v>
      </c>
      <c r="AI11" s="397">
        <v>8521</v>
      </c>
      <c r="AJ11" s="397">
        <v>7867</v>
      </c>
      <c r="AK11" s="397">
        <v>8348</v>
      </c>
      <c r="AL11" s="397">
        <v>9438</v>
      </c>
      <c r="AM11" s="397">
        <v>10591</v>
      </c>
      <c r="AN11" s="397">
        <v>9603</v>
      </c>
      <c r="AO11" s="397">
        <v>9511</v>
      </c>
      <c r="AP11" s="397">
        <v>9635</v>
      </c>
      <c r="AQ11" s="272">
        <v>10349</v>
      </c>
    </row>
    <row r="12" spans="1:43" ht="12" customHeight="1">
      <c r="A12" s="665" t="s">
        <v>203</v>
      </c>
      <c r="B12" s="665"/>
      <c r="D12" s="504">
        <v>10594</v>
      </c>
      <c r="F12" s="503">
        <f>F10+F11</f>
        <v>8066</v>
      </c>
      <c r="H12" s="503">
        <f>H10+H11</f>
        <v>7875</v>
      </c>
      <c r="I12" s="504">
        <f>I10+I11</f>
        <v>8299</v>
      </c>
      <c r="J12" s="504">
        <f>J10+J11</f>
        <v>7947</v>
      </c>
      <c r="K12" s="504">
        <f>K11+K10</f>
        <v>4340</v>
      </c>
      <c r="M12" s="503">
        <f>M10+M11</f>
        <v>4179</v>
      </c>
      <c r="N12" s="504">
        <v>4004</v>
      </c>
      <c r="O12" s="504">
        <v>4025</v>
      </c>
      <c r="P12" s="504">
        <f>SUM(P10:P11)</f>
        <v>3897</v>
      </c>
      <c r="R12" s="503">
        <f>R10+R11</f>
        <v>3903</v>
      </c>
      <c r="S12" s="504">
        <f>S10+S11</f>
        <v>4322</v>
      </c>
      <c r="T12" s="504">
        <f>T10+T11</f>
        <v>4308</v>
      </c>
      <c r="U12" s="504">
        <f>U10+U11</f>
        <v>5203</v>
      </c>
      <c r="W12" s="503">
        <f>W10+W11</f>
        <v>5393</v>
      </c>
      <c r="X12" s="397">
        <v>5331</v>
      </c>
      <c r="Y12" s="397">
        <f>Y10+Y11</f>
        <v>5800</v>
      </c>
      <c r="Z12" s="397">
        <v>5694</v>
      </c>
      <c r="AB12" s="503">
        <v>6317</v>
      </c>
      <c r="AC12" s="397">
        <v>6159</v>
      </c>
      <c r="AD12" s="397">
        <v>6075</v>
      </c>
      <c r="AE12" s="504">
        <v>6069</v>
      </c>
      <c r="AG12" s="397">
        <v>6508</v>
      </c>
      <c r="AH12" s="397">
        <v>7992</v>
      </c>
      <c r="AI12" s="397">
        <v>8521</v>
      </c>
      <c r="AJ12" s="397">
        <v>7867</v>
      </c>
      <c r="AK12" s="397">
        <v>8348</v>
      </c>
      <c r="AL12" s="397">
        <v>9438</v>
      </c>
      <c r="AM12" s="397">
        <v>10591</v>
      </c>
      <c r="AN12" s="397">
        <v>9603</v>
      </c>
      <c r="AO12" s="397">
        <v>9511</v>
      </c>
      <c r="AP12" s="397">
        <v>9635</v>
      </c>
      <c r="AQ12" s="272">
        <v>10349</v>
      </c>
    </row>
    <row r="13" spans="1:43" ht="12" customHeight="1">
      <c r="A13" s="608" t="s">
        <v>204</v>
      </c>
      <c r="B13" s="582"/>
      <c r="D13" s="504">
        <v>214</v>
      </c>
      <c r="F13" s="503">
        <v>117</v>
      </c>
      <c r="H13" s="503">
        <v>133</v>
      </c>
      <c r="I13" s="504">
        <v>67</v>
      </c>
      <c r="J13" s="504">
        <v>58</v>
      </c>
      <c r="K13" s="504">
        <v>237</v>
      </c>
      <c r="M13" s="503">
        <v>162</v>
      </c>
      <c r="N13" s="504">
        <v>137</v>
      </c>
      <c r="O13" s="504">
        <v>183</v>
      </c>
      <c r="P13" s="504">
        <v>110</v>
      </c>
      <c r="R13" s="503">
        <v>213</v>
      </c>
      <c r="S13" s="504">
        <v>329</v>
      </c>
      <c r="T13" s="504">
        <v>399</v>
      </c>
      <c r="U13" s="504">
        <v>320</v>
      </c>
      <c r="W13" s="503">
        <v>250</v>
      </c>
      <c r="X13" s="397">
        <v>258</v>
      </c>
      <c r="Y13" s="397">
        <v>162</v>
      </c>
      <c r="Z13" s="397">
        <v>124</v>
      </c>
      <c r="AB13" s="503">
        <v>24</v>
      </c>
      <c r="AC13" s="397">
        <v>243</v>
      </c>
      <c r="AD13" s="397">
        <v>864</v>
      </c>
      <c r="AE13" s="504">
        <v>789</v>
      </c>
      <c r="AG13" s="397">
        <v>606</v>
      </c>
      <c r="AH13" s="397">
        <v>574</v>
      </c>
      <c r="AI13" s="397">
        <v>580</v>
      </c>
      <c r="AJ13" s="397">
        <v>595</v>
      </c>
      <c r="AK13" s="397">
        <v>536</v>
      </c>
      <c r="AL13" s="397">
        <v>814</v>
      </c>
      <c r="AM13" s="397">
        <v>876</v>
      </c>
      <c r="AN13" s="397">
        <v>714</v>
      </c>
      <c r="AO13" s="397">
        <v>602</v>
      </c>
      <c r="AP13" s="397">
        <v>544</v>
      </c>
      <c r="AQ13" s="272">
        <v>324</v>
      </c>
    </row>
    <row r="14" spans="1:43" ht="12" customHeight="1">
      <c r="A14" s="608" t="s">
        <v>205</v>
      </c>
      <c r="B14" s="582"/>
      <c r="D14" s="504">
        <v>931</v>
      </c>
      <c r="F14" s="503">
        <v>579</v>
      </c>
      <c r="H14" s="503">
        <v>602</v>
      </c>
      <c r="I14" s="504">
        <v>571</v>
      </c>
      <c r="J14" s="504">
        <v>528</v>
      </c>
      <c r="K14" s="504">
        <v>577</v>
      </c>
      <c r="M14" s="503">
        <v>677</v>
      </c>
      <c r="N14" s="504">
        <v>712</v>
      </c>
      <c r="O14" s="504">
        <v>742</v>
      </c>
      <c r="P14" s="504">
        <v>614</v>
      </c>
      <c r="R14" s="503">
        <v>553</v>
      </c>
      <c r="S14" s="504">
        <v>527</v>
      </c>
      <c r="T14" s="504">
        <v>438</v>
      </c>
      <c r="U14" s="504">
        <v>541</v>
      </c>
      <c r="W14" s="503">
        <v>520</v>
      </c>
      <c r="X14" s="397">
        <v>463</v>
      </c>
      <c r="Y14" s="397">
        <v>428</v>
      </c>
      <c r="Z14" s="397">
        <v>448</v>
      </c>
      <c r="AB14" s="503">
        <v>345</v>
      </c>
      <c r="AC14" s="397">
        <v>581</v>
      </c>
      <c r="AD14" s="397">
        <v>532</v>
      </c>
      <c r="AE14" s="504">
        <v>636</v>
      </c>
      <c r="AG14" s="397">
        <v>616</v>
      </c>
      <c r="AH14" s="397">
        <v>755</v>
      </c>
      <c r="AI14" s="397">
        <v>750</v>
      </c>
      <c r="AJ14" s="397">
        <v>637</v>
      </c>
      <c r="AK14" s="397">
        <v>687</v>
      </c>
      <c r="AL14" s="397">
        <v>848</v>
      </c>
      <c r="AM14" s="397">
        <v>587</v>
      </c>
      <c r="AN14" s="397">
        <v>606</v>
      </c>
      <c r="AO14" s="397">
        <v>577</v>
      </c>
      <c r="AP14" s="397">
        <v>719</v>
      </c>
      <c r="AQ14" s="272">
        <v>875</v>
      </c>
    </row>
    <row r="15" spans="1:43" ht="12" customHeight="1">
      <c r="A15" s="608" t="s">
        <v>206</v>
      </c>
      <c r="B15" s="582"/>
      <c r="D15" s="504">
        <v>627</v>
      </c>
      <c r="F15" s="503">
        <v>735</v>
      </c>
      <c r="H15" s="503">
        <v>787</v>
      </c>
      <c r="I15" s="504">
        <v>859</v>
      </c>
      <c r="J15" s="504">
        <v>826</v>
      </c>
      <c r="K15" s="504">
        <v>930</v>
      </c>
      <c r="M15" s="503">
        <v>929</v>
      </c>
      <c r="N15" s="504">
        <v>916</v>
      </c>
      <c r="O15" s="504">
        <v>940</v>
      </c>
      <c r="P15" s="504">
        <v>762</v>
      </c>
      <c r="R15" s="503">
        <v>804</v>
      </c>
      <c r="S15" s="504">
        <v>781</v>
      </c>
      <c r="T15" s="504">
        <v>778</v>
      </c>
      <c r="U15" s="504">
        <v>716</v>
      </c>
      <c r="W15" s="503">
        <v>757</v>
      </c>
      <c r="X15" s="397">
        <v>751</v>
      </c>
      <c r="Y15" s="397">
        <v>783</v>
      </c>
      <c r="Z15" s="397">
        <v>656</v>
      </c>
      <c r="AB15" s="503">
        <v>688</v>
      </c>
      <c r="AC15" s="397">
        <v>710</v>
      </c>
      <c r="AD15" s="397">
        <v>699</v>
      </c>
      <c r="AE15" s="504">
        <v>601</v>
      </c>
      <c r="AG15" s="397">
        <v>623</v>
      </c>
      <c r="AH15" s="397">
        <v>501</v>
      </c>
      <c r="AI15" s="397">
        <v>505</v>
      </c>
      <c r="AJ15" s="397">
        <v>496</v>
      </c>
      <c r="AK15" s="397">
        <v>540</v>
      </c>
      <c r="AL15" s="397">
        <v>538</v>
      </c>
      <c r="AM15" s="397">
        <v>490</v>
      </c>
      <c r="AN15" s="397">
        <v>469</v>
      </c>
      <c r="AO15" s="397">
        <v>480</v>
      </c>
      <c r="AP15" s="397">
        <v>473</v>
      </c>
      <c r="AQ15" s="272">
        <v>486</v>
      </c>
    </row>
    <row r="16" spans="1:43" ht="12" customHeight="1">
      <c r="A16" s="665" t="s">
        <v>207</v>
      </c>
      <c r="B16" s="665"/>
      <c r="D16" s="504">
        <v>1772</v>
      </c>
      <c r="F16" s="503">
        <f>F13+F14+F15</f>
        <v>1431</v>
      </c>
      <c r="H16" s="503">
        <f>H13+H14+H15</f>
        <v>1522</v>
      </c>
      <c r="I16" s="504">
        <f>I13+I14+I15</f>
        <v>1497</v>
      </c>
      <c r="J16" s="504">
        <f>J13+J14+J15</f>
        <v>1412</v>
      </c>
      <c r="K16" s="504">
        <f>K13+K14+K15</f>
        <v>1744</v>
      </c>
      <c r="M16" s="503">
        <f>M13+M14+M15</f>
        <v>1768</v>
      </c>
      <c r="N16" s="504">
        <f>N13+N14+N15</f>
        <v>1765</v>
      </c>
      <c r="O16" s="504">
        <v>1865</v>
      </c>
      <c r="P16" s="504">
        <f>SUM(P13:P15)</f>
        <v>1486</v>
      </c>
      <c r="R16" s="503">
        <f>R13+R14+R15</f>
        <v>1570</v>
      </c>
      <c r="S16" s="504">
        <f>S13+S14+S15</f>
        <v>1637</v>
      </c>
      <c r="T16" s="504">
        <f>T13+T14+T15</f>
        <v>1615</v>
      </c>
      <c r="U16" s="504">
        <f>U13+U14+U15</f>
        <v>1577</v>
      </c>
      <c r="W16" s="503">
        <f>W13+W14+W15</f>
        <v>1527</v>
      </c>
      <c r="X16" s="397">
        <f>X13+X14+X15</f>
        <v>1472</v>
      </c>
      <c r="Y16" s="397">
        <f>Y13+Y14+Y15</f>
        <v>1373</v>
      </c>
      <c r="Z16" s="397">
        <v>1228</v>
      </c>
      <c r="AB16" s="503">
        <v>1057</v>
      </c>
      <c r="AC16" s="397">
        <v>1534</v>
      </c>
      <c r="AD16" s="397">
        <v>2095</v>
      </c>
      <c r="AE16" s="504">
        <v>2026</v>
      </c>
      <c r="AG16" s="397">
        <v>1845</v>
      </c>
      <c r="AH16" s="397">
        <v>1830</v>
      </c>
      <c r="AI16" s="397">
        <v>1835</v>
      </c>
      <c r="AJ16" s="397">
        <v>1728</v>
      </c>
      <c r="AK16" s="397">
        <v>1763</v>
      </c>
      <c r="AL16" s="397">
        <v>2200</v>
      </c>
      <c r="AM16" s="397">
        <v>1953</v>
      </c>
      <c r="AN16" s="397">
        <v>1789</v>
      </c>
      <c r="AO16" s="397">
        <v>1659</v>
      </c>
      <c r="AP16" s="397">
        <v>1736</v>
      </c>
      <c r="AQ16" s="272">
        <v>1685</v>
      </c>
    </row>
    <row r="17" spans="1:43" ht="12" customHeight="1">
      <c r="A17" s="608" t="s">
        <v>208</v>
      </c>
      <c r="B17" s="582"/>
      <c r="D17" s="504">
        <v>535</v>
      </c>
      <c r="F17" s="503">
        <v>557</v>
      </c>
      <c r="H17" s="503">
        <v>562</v>
      </c>
      <c r="I17" s="504">
        <v>608</v>
      </c>
      <c r="J17" s="504">
        <v>512</v>
      </c>
      <c r="K17" s="504">
        <v>511</v>
      </c>
      <c r="M17" s="503">
        <v>456</v>
      </c>
      <c r="N17" s="504">
        <v>372</v>
      </c>
      <c r="O17" s="504">
        <v>340</v>
      </c>
      <c r="P17" s="504">
        <v>389</v>
      </c>
      <c r="R17" s="503">
        <v>487</v>
      </c>
      <c r="S17" s="504">
        <v>542</v>
      </c>
      <c r="T17" s="504">
        <v>420</v>
      </c>
      <c r="U17" s="504">
        <v>309</v>
      </c>
      <c r="W17" s="503">
        <v>452</v>
      </c>
      <c r="X17" s="397">
        <v>223</v>
      </c>
      <c r="Y17" s="397">
        <v>236</v>
      </c>
      <c r="Z17" s="397">
        <v>157</v>
      </c>
      <c r="AB17" s="503">
        <v>163</v>
      </c>
      <c r="AC17" s="397">
        <v>141</v>
      </c>
      <c r="AD17" s="397">
        <v>150</v>
      </c>
      <c r="AE17" s="504">
        <v>193</v>
      </c>
      <c r="AG17" s="397">
        <v>332</v>
      </c>
      <c r="AH17" s="397">
        <v>216</v>
      </c>
      <c r="AI17" s="397">
        <v>218</v>
      </c>
      <c r="AJ17" s="397">
        <v>185</v>
      </c>
      <c r="AK17" s="397">
        <v>191</v>
      </c>
      <c r="AL17" s="397">
        <v>205</v>
      </c>
      <c r="AM17" s="397">
        <v>156</v>
      </c>
      <c r="AN17" s="397">
        <v>137</v>
      </c>
      <c r="AO17" s="397">
        <v>143</v>
      </c>
      <c r="AP17" s="397">
        <v>139</v>
      </c>
      <c r="AQ17" s="272">
        <v>138</v>
      </c>
    </row>
    <row r="18" spans="1:43" ht="12" customHeight="1">
      <c r="A18" s="608" t="s">
        <v>209</v>
      </c>
      <c r="B18" s="582"/>
      <c r="D18" s="504">
        <v>129</v>
      </c>
      <c r="F18" s="503">
        <v>97</v>
      </c>
      <c r="H18" s="503">
        <v>123</v>
      </c>
      <c r="I18" s="504">
        <v>125</v>
      </c>
      <c r="J18" s="504">
        <v>125</v>
      </c>
      <c r="K18" s="504">
        <v>117</v>
      </c>
      <c r="M18" s="503">
        <v>117</v>
      </c>
      <c r="N18" s="504">
        <v>118</v>
      </c>
      <c r="O18" s="504">
        <v>113</v>
      </c>
      <c r="P18" s="504">
        <v>112</v>
      </c>
      <c r="R18" s="503">
        <v>111</v>
      </c>
      <c r="S18" s="504">
        <v>109</v>
      </c>
      <c r="T18" s="504">
        <v>121</v>
      </c>
      <c r="U18" s="504">
        <v>109</v>
      </c>
      <c r="W18" s="503">
        <v>108</v>
      </c>
      <c r="X18" s="397">
        <v>108</v>
      </c>
      <c r="Y18" s="397">
        <v>115</v>
      </c>
      <c r="Z18" s="397">
        <v>142</v>
      </c>
      <c r="AB18" s="503">
        <v>128</v>
      </c>
      <c r="AC18" s="397">
        <v>135</v>
      </c>
      <c r="AD18" s="397">
        <v>139</v>
      </c>
      <c r="AE18" s="504">
        <v>161</v>
      </c>
      <c r="AG18" s="397">
        <v>144</v>
      </c>
      <c r="AH18" s="397">
        <v>165</v>
      </c>
      <c r="AI18" s="397">
        <v>167</v>
      </c>
      <c r="AJ18" s="397">
        <v>161</v>
      </c>
      <c r="AK18" s="397">
        <v>158</v>
      </c>
      <c r="AL18" s="397">
        <v>157</v>
      </c>
      <c r="AM18" s="397">
        <v>160</v>
      </c>
      <c r="AN18" s="397">
        <v>220</v>
      </c>
      <c r="AO18" s="397">
        <v>220</v>
      </c>
      <c r="AP18" s="397">
        <v>233</v>
      </c>
      <c r="AQ18" s="272">
        <v>232</v>
      </c>
    </row>
    <row r="19" spans="1:43" ht="12" customHeight="1">
      <c r="A19" s="668" t="s">
        <v>210</v>
      </c>
      <c r="B19" s="668"/>
      <c r="C19" s="493"/>
      <c r="D19" s="497">
        <v>33569</v>
      </c>
      <c r="F19" s="496">
        <f>F6+F9+F12+F13+F14+F15+F17+F18</f>
        <v>30448</v>
      </c>
      <c r="H19" s="496">
        <f>H6+H9+H12+H13+H14+H15+H17+H18</f>
        <v>30680</v>
      </c>
      <c r="I19" s="497">
        <f>I6+I9+I12+I13+I14+I15+I17+I18</f>
        <v>31715</v>
      </c>
      <c r="J19" s="497">
        <f>J6+J9+J12+J13+J14+J15+J17+J18</f>
        <v>31296</v>
      </c>
      <c r="K19" s="497">
        <f>K6+K9+K12+K13+K14+K15+K17+K18</f>
        <v>27202</v>
      </c>
      <c r="M19" s="496">
        <f>M6+M9+M12+M13+M14+M15+M17+M18</f>
        <v>26981</v>
      </c>
      <c r="N19" s="497">
        <f>N6+N9+N12+N13+N14+N15+N17+N18</f>
        <v>26728</v>
      </c>
      <c r="O19" s="497">
        <v>27072</v>
      </c>
      <c r="P19" s="497">
        <f>P6+P9+P12+P16+P17+P18</f>
        <v>26515</v>
      </c>
      <c r="R19" s="496">
        <f>R6+R9+R12+R13+R14+R15+R17+R18</f>
        <v>26735</v>
      </c>
      <c r="S19" s="497">
        <f>S6+S9+S12+S13+S14+S15+S17+S18</f>
        <v>27589</v>
      </c>
      <c r="T19" s="497">
        <f>T6+T9+T12+T13+T14+T15+T17+T18</f>
        <v>27684</v>
      </c>
      <c r="U19" s="497">
        <f>U6+U9+U12+U16+U17+U18</f>
        <v>29375</v>
      </c>
      <c r="W19" s="496">
        <f>W6+W9+W12+W16+W17+W18</f>
        <v>30477</v>
      </c>
      <c r="X19" s="356">
        <f>X6+X9+X12+X16+X17+X18</f>
        <v>30581</v>
      </c>
      <c r="Y19" s="356">
        <f>Y6+Y9+Y12+Y16+Y17+Y18</f>
        <v>31694</v>
      </c>
      <c r="Z19" s="356">
        <v>31669</v>
      </c>
      <c r="AB19" s="496">
        <v>32685</v>
      </c>
      <c r="AC19" s="356">
        <v>32903</v>
      </c>
      <c r="AD19" s="356">
        <v>33726</v>
      </c>
      <c r="AE19" s="497">
        <v>34047</v>
      </c>
      <c r="AG19" s="356">
        <v>34641</v>
      </c>
      <c r="AH19" s="356">
        <v>35969</v>
      </c>
      <c r="AI19" s="356">
        <v>37063</v>
      </c>
      <c r="AJ19" s="356">
        <v>36664</v>
      </c>
      <c r="AK19" s="356">
        <v>37167</v>
      </c>
      <c r="AL19" s="356">
        <v>39679</v>
      </c>
      <c r="AM19" s="356">
        <v>41534</v>
      </c>
      <c r="AN19" s="356">
        <v>40379</v>
      </c>
      <c r="AO19" s="356">
        <v>40353</v>
      </c>
      <c r="AP19" s="356">
        <v>40627</v>
      </c>
      <c r="AQ19" s="273">
        <v>42213</v>
      </c>
    </row>
    <row r="20" spans="1:43" ht="12" customHeight="1">
      <c r="A20" s="665" t="s">
        <v>211</v>
      </c>
      <c r="B20" s="665"/>
      <c r="D20" s="504">
        <v>3362</v>
      </c>
      <c r="F20" s="503">
        <v>3382</v>
      </c>
      <c r="H20" s="503">
        <v>3935</v>
      </c>
      <c r="I20" s="504">
        <v>4066</v>
      </c>
      <c r="J20" s="504">
        <v>4225</v>
      </c>
      <c r="K20" s="504">
        <v>3497</v>
      </c>
      <c r="M20" s="503">
        <v>4154</v>
      </c>
      <c r="N20" s="504">
        <v>4512</v>
      </c>
      <c r="O20" s="504">
        <v>4931</v>
      </c>
      <c r="P20" s="504">
        <v>4562</v>
      </c>
      <c r="R20" s="503">
        <v>5468</v>
      </c>
      <c r="S20" s="504">
        <v>5568</v>
      </c>
      <c r="T20" s="504">
        <v>5519</v>
      </c>
      <c r="U20" s="504">
        <v>4983</v>
      </c>
      <c r="W20" s="503">
        <v>5444</v>
      </c>
      <c r="X20" s="397">
        <v>5277</v>
      </c>
      <c r="Y20" s="397">
        <v>5338</v>
      </c>
      <c r="Z20" s="397">
        <v>4741</v>
      </c>
      <c r="AB20" s="503">
        <v>4951</v>
      </c>
      <c r="AC20" s="397">
        <v>4615</v>
      </c>
      <c r="AD20" s="397">
        <v>4854</v>
      </c>
      <c r="AE20" s="504">
        <v>4459</v>
      </c>
      <c r="AG20" s="397">
        <v>5485</v>
      </c>
      <c r="AH20" s="397">
        <v>5794</v>
      </c>
      <c r="AI20" s="397">
        <v>6106</v>
      </c>
      <c r="AJ20" s="397">
        <v>6337</v>
      </c>
      <c r="AK20" s="397">
        <v>6892</v>
      </c>
      <c r="AL20" s="397">
        <v>7810</v>
      </c>
      <c r="AM20" s="397">
        <v>8160</v>
      </c>
      <c r="AN20" s="397">
        <v>8902</v>
      </c>
      <c r="AO20" s="397">
        <v>8538</v>
      </c>
      <c r="AP20" s="397">
        <v>8888</v>
      </c>
      <c r="AQ20" s="272">
        <v>8783</v>
      </c>
    </row>
    <row r="21" spans="1:43" ht="12" customHeight="1">
      <c r="A21" s="665" t="s">
        <v>212</v>
      </c>
      <c r="B21" s="665"/>
      <c r="D21" s="504">
        <v>1890</v>
      </c>
      <c r="F21" s="503">
        <v>1541</v>
      </c>
      <c r="H21" s="503">
        <v>1077</v>
      </c>
      <c r="I21" s="504">
        <v>1146</v>
      </c>
      <c r="J21" s="504">
        <v>955</v>
      </c>
      <c r="K21" s="504">
        <v>1292</v>
      </c>
      <c r="M21" s="503">
        <v>1206</v>
      </c>
      <c r="N21" s="504">
        <v>1097</v>
      </c>
      <c r="O21" s="504">
        <v>1127</v>
      </c>
      <c r="P21" s="504">
        <v>1522</v>
      </c>
      <c r="R21" s="503">
        <v>1192</v>
      </c>
      <c r="S21" s="504">
        <v>1222</v>
      </c>
      <c r="T21" s="504">
        <v>1229</v>
      </c>
      <c r="U21" s="504">
        <v>799</v>
      </c>
      <c r="W21" s="503">
        <v>1011</v>
      </c>
      <c r="X21" s="397">
        <v>723</v>
      </c>
      <c r="Y21" s="397">
        <v>758</v>
      </c>
      <c r="Z21" s="397">
        <v>688</v>
      </c>
      <c r="AB21" s="503">
        <v>667</v>
      </c>
      <c r="AC21" s="397">
        <v>747</v>
      </c>
      <c r="AD21" s="397">
        <v>745</v>
      </c>
      <c r="AE21" s="504">
        <v>834</v>
      </c>
      <c r="AG21" s="397">
        <v>958</v>
      </c>
      <c r="AH21" s="397">
        <v>881</v>
      </c>
      <c r="AI21" s="397">
        <v>1115</v>
      </c>
      <c r="AJ21" s="397">
        <v>1009</v>
      </c>
      <c r="AK21" s="397">
        <v>1405</v>
      </c>
      <c r="AL21" s="397">
        <v>1524</v>
      </c>
      <c r="AM21" s="397">
        <v>1252</v>
      </c>
      <c r="AN21" s="397">
        <v>1177</v>
      </c>
      <c r="AO21" s="397">
        <v>1131</v>
      </c>
      <c r="AP21" s="397">
        <v>765</v>
      </c>
      <c r="AQ21" s="272">
        <v>1513</v>
      </c>
    </row>
    <row r="22" spans="1:43" ht="12" customHeight="1">
      <c r="A22" s="665" t="s">
        <v>213</v>
      </c>
      <c r="B22" s="665"/>
      <c r="D22" s="504">
        <v>445</v>
      </c>
      <c r="F22" s="503">
        <v>542</v>
      </c>
      <c r="H22" s="503">
        <v>334</v>
      </c>
      <c r="I22" s="504">
        <v>336</v>
      </c>
      <c r="J22" s="504">
        <v>288</v>
      </c>
      <c r="K22" s="504">
        <v>267</v>
      </c>
      <c r="M22" s="503">
        <v>233</v>
      </c>
      <c r="N22" s="504">
        <v>228</v>
      </c>
      <c r="O22" s="504">
        <v>224</v>
      </c>
      <c r="P22" s="504">
        <v>277</v>
      </c>
      <c r="R22" s="503">
        <v>213</v>
      </c>
      <c r="S22" s="504">
        <v>226</v>
      </c>
      <c r="T22" s="504">
        <v>233</v>
      </c>
      <c r="U22" s="504">
        <v>417</v>
      </c>
      <c r="W22" s="503">
        <v>312</v>
      </c>
      <c r="X22" s="397">
        <v>288</v>
      </c>
      <c r="Y22" s="397">
        <v>415</v>
      </c>
      <c r="Z22" s="397">
        <v>571</v>
      </c>
      <c r="AB22" s="503">
        <v>482</v>
      </c>
      <c r="AC22" s="397">
        <v>498</v>
      </c>
      <c r="AD22" s="397">
        <v>426</v>
      </c>
      <c r="AE22" s="504">
        <v>295</v>
      </c>
      <c r="AG22" s="397">
        <v>404</v>
      </c>
      <c r="AH22" s="397">
        <v>235</v>
      </c>
      <c r="AI22" s="397">
        <v>254</v>
      </c>
      <c r="AJ22" s="397">
        <v>364</v>
      </c>
      <c r="AK22" s="397">
        <v>246</v>
      </c>
      <c r="AL22" s="397">
        <v>290</v>
      </c>
      <c r="AM22" s="397">
        <v>271</v>
      </c>
      <c r="AN22" s="397">
        <v>367</v>
      </c>
      <c r="AO22" s="397">
        <v>367</v>
      </c>
      <c r="AP22" s="397">
        <v>372</v>
      </c>
      <c r="AQ22" s="272">
        <v>324</v>
      </c>
    </row>
    <row r="23" spans="1:43" ht="12" customHeight="1">
      <c r="A23" s="665" t="s">
        <v>204</v>
      </c>
      <c r="B23" s="665"/>
      <c r="D23" s="504">
        <v>277</v>
      </c>
      <c r="F23" s="503">
        <v>7</v>
      </c>
      <c r="H23" s="503">
        <v>80</v>
      </c>
      <c r="I23" s="504">
        <v>33</v>
      </c>
      <c r="J23" s="504">
        <v>56</v>
      </c>
      <c r="K23" s="504">
        <v>72</v>
      </c>
      <c r="M23" s="503">
        <v>78</v>
      </c>
      <c r="N23" s="504">
        <v>101</v>
      </c>
      <c r="O23" s="504">
        <v>110</v>
      </c>
      <c r="P23" s="504">
        <v>196</v>
      </c>
      <c r="R23" s="503">
        <v>264</v>
      </c>
      <c r="S23" s="504">
        <v>158</v>
      </c>
      <c r="T23" s="504">
        <v>244</v>
      </c>
      <c r="U23" s="504">
        <v>301</v>
      </c>
      <c r="W23" s="503">
        <v>140</v>
      </c>
      <c r="X23" s="397">
        <v>324</v>
      </c>
      <c r="Y23" s="397">
        <v>363</v>
      </c>
      <c r="Z23" s="397">
        <v>293</v>
      </c>
      <c r="AB23" s="503">
        <v>892</v>
      </c>
      <c r="AC23" s="397">
        <v>222</v>
      </c>
      <c r="AD23" s="397">
        <v>269</v>
      </c>
      <c r="AE23" s="504">
        <v>210</v>
      </c>
      <c r="AG23" s="397">
        <v>216</v>
      </c>
      <c r="AH23" s="397">
        <v>294</v>
      </c>
      <c r="AI23" s="397">
        <v>333</v>
      </c>
      <c r="AJ23" s="397">
        <v>254</v>
      </c>
      <c r="AK23" s="397">
        <v>192</v>
      </c>
      <c r="AL23" s="397">
        <v>587</v>
      </c>
      <c r="AM23" s="397">
        <v>826</v>
      </c>
      <c r="AN23" s="397">
        <v>796</v>
      </c>
      <c r="AO23" s="397">
        <v>611</v>
      </c>
      <c r="AP23" s="397">
        <v>766</v>
      </c>
      <c r="AQ23" s="272">
        <v>439</v>
      </c>
    </row>
    <row r="24" spans="1:43" ht="12" customHeight="1">
      <c r="A24" s="665" t="s">
        <v>214</v>
      </c>
      <c r="B24" s="665"/>
      <c r="D24" s="504"/>
      <c r="F24" s="503"/>
      <c r="H24" s="503"/>
      <c r="I24" s="504"/>
      <c r="J24" s="504"/>
      <c r="K24" s="504"/>
      <c r="M24" s="503"/>
      <c r="N24" s="504"/>
      <c r="O24" s="504"/>
      <c r="P24" s="504"/>
      <c r="R24" s="503"/>
      <c r="S24" s="504"/>
      <c r="T24" s="504"/>
      <c r="U24" s="504"/>
      <c r="W24" s="503"/>
      <c r="X24" s="397"/>
      <c r="Y24" s="397"/>
      <c r="Z24" s="397"/>
      <c r="AB24" s="503"/>
      <c r="AC24" s="397"/>
      <c r="AD24" s="397"/>
      <c r="AE24" s="504"/>
      <c r="AG24" s="397"/>
      <c r="AH24" s="397"/>
      <c r="AI24" s="397">
        <v>0</v>
      </c>
      <c r="AJ24" s="397">
        <v>447</v>
      </c>
      <c r="AK24" s="397">
        <v>0</v>
      </c>
      <c r="AL24" s="397">
        <v>0</v>
      </c>
      <c r="AM24" s="397">
        <v>0</v>
      </c>
      <c r="AN24" s="397">
        <v>0</v>
      </c>
      <c r="AO24" s="397">
        <v>0</v>
      </c>
      <c r="AP24" s="397">
        <v>0</v>
      </c>
      <c r="AQ24" s="272">
        <v>0</v>
      </c>
    </row>
    <row r="25" spans="1:43" ht="12" customHeight="1">
      <c r="A25" s="665" t="s">
        <v>215</v>
      </c>
      <c r="B25" s="665"/>
      <c r="D25" s="504">
        <v>356</v>
      </c>
      <c r="F25" s="503">
        <v>383</v>
      </c>
      <c r="H25" s="503">
        <v>403</v>
      </c>
      <c r="I25" s="504">
        <v>417</v>
      </c>
      <c r="J25" s="504">
        <v>340</v>
      </c>
      <c r="K25" s="504">
        <v>252</v>
      </c>
      <c r="M25" s="503">
        <v>353</v>
      </c>
      <c r="N25" s="504">
        <v>389</v>
      </c>
      <c r="O25" s="504">
        <v>435</v>
      </c>
      <c r="P25" s="504">
        <v>464</v>
      </c>
      <c r="R25" s="503">
        <f>270+239</f>
        <v>509</v>
      </c>
      <c r="S25" s="504">
        <f>296+402</f>
        <v>698</v>
      </c>
      <c r="T25" s="504">
        <f>266+257</f>
        <v>523</v>
      </c>
      <c r="U25" s="504">
        <f>273+132</f>
        <v>405</v>
      </c>
      <c r="W25" s="503">
        <f>286+258</f>
        <v>544</v>
      </c>
      <c r="X25" s="397">
        <f>420+326</f>
        <v>746</v>
      </c>
      <c r="Y25" s="397">
        <f>457+326</f>
        <v>783</v>
      </c>
      <c r="Z25" s="397">
        <f>280+151</f>
        <v>431</v>
      </c>
      <c r="AB25" s="503">
        <f>394+327</f>
        <v>721</v>
      </c>
      <c r="AC25" s="397">
        <v>648</v>
      </c>
      <c r="AD25" s="397">
        <v>546</v>
      </c>
      <c r="AE25" s="504">
        <v>352</v>
      </c>
      <c r="AG25" s="397">
        <v>542</v>
      </c>
      <c r="AH25" s="397">
        <f>96+251</f>
        <v>347</v>
      </c>
      <c r="AI25" s="397">
        <v>375</v>
      </c>
      <c r="AJ25" s="397">
        <f>172+162</f>
        <v>334</v>
      </c>
      <c r="AK25" s="397">
        <v>461</v>
      </c>
      <c r="AL25" s="397">
        <v>581</v>
      </c>
      <c r="AM25" s="397">
        <f>380+284</f>
        <v>664</v>
      </c>
      <c r="AN25" s="397">
        <f>337+286</f>
        <v>623</v>
      </c>
      <c r="AO25" s="397">
        <v>761</v>
      </c>
      <c r="AP25" s="397">
        <f>426+478</f>
        <v>904</v>
      </c>
      <c r="AQ25" s="272">
        <v>822</v>
      </c>
    </row>
    <row r="26" spans="1:43" ht="12" customHeight="1">
      <c r="A26" s="665" t="s">
        <v>216</v>
      </c>
      <c r="B26" s="665"/>
      <c r="D26" s="504">
        <v>475</v>
      </c>
      <c r="F26" s="503">
        <v>461</v>
      </c>
      <c r="H26" s="503">
        <v>589</v>
      </c>
      <c r="I26" s="504">
        <v>698</v>
      </c>
      <c r="J26" s="504">
        <v>731</v>
      </c>
      <c r="K26" s="504">
        <v>860</v>
      </c>
      <c r="M26" s="503">
        <v>624</v>
      </c>
      <c r="N26" s="504">
        <v>446</v>
      </c>
      <c r="O26" s="504">
        <v>407</v>
      </c>
      <c r="P26" s="504">
        <v>586</v>
      </c>
      <c r="R26" s="503">
        <v>523</v>
      </c>
      <c r="S26" s="504">
        <v>610</v>
      </c>
      <c r="T26" s="504">
        <v>789</v>
      </c>
      <c r="U26" s="504">
        <v>957</v>
      </c>
      <c r="W26" s="503">
        <v>590</v>
      </c>
      <c r="X26" s="397">
        <v>1106</v>
      </c>
      <c r="Y26" s="397">
        <v>748</v>
      </c>
      <c r="Z26" s="397">
        <v>1016</v>
      </c>
      <c r="AB26" s="503">
        <v>2198</v>
      </c>
      <c r="AC26" s="397">
        <v>1951</v>
      </c>
      <c r="AD26" s="397">
        <v>1119</v>
      </c>
      <c r="AE26" s="504">
        <v>2522</v>
      </c>
      <c r="AG26" s="397">
        <v>1566</v>
      </c>
      <c r="AH26" s="397">
        <v>1189</v>
      </c>
      <c r="AI26" s="397">
        <v>457</v>
      </c>
      <c r="AJ26" s="397">
        <v>1884</v>
      </c>
      <c r="AK26" s="397">
        <v>3337</v>
      </c>
      <c r="AL26" s="397">
        <v>2635</v>
      </c>
      <c r="AM26" s="397">
        <v>2132</v>
      </c>
      <c r="AN26" s="397">
        <v>1200</v>
      </c>
      <c r="AO26" s="397">
        <v>1574</v>
      </c>
      <c r="AP26" s="397">
        <v>1879</v>
      </c>
      <c r="AQ26" s="272">
        <v>1403</v>
      </c>
    </row>
    <row r="27" spans="1:43" ht="12" customHeight="1">
      <c r="A27" s="665" t="s">
        <v>217</v>
      </c>
      <c r="B27" s="665"/>
      <c r="D27" s="504">
        <v>0</v>
      </c>
      <c r="F27" s="503">
        <v>0</v>
      </c>
      <c r="H27" s="503">
        <v>0</v>
      </c>
      <c r="I27" s="504">
        <v>0</v>
      </c>
      <c r="J27" s="504">
        <v>0</v>
      </c>
      <c r="K27" s="504">
        <v>0</v>
      </c>
      <c r="M27" s="503">
        <v>0</v>
      </c>
      <c r="N27" s="504">
        <v>0</v>
      </c>
      <c r="O27" s="504">
        <v>0</v>
      </c>
      <c r="P27" s="504">
        <v>0</v>
      </c>
      <c r="R27" s="503">
        <v>0</v>
      </c>
      <c r="S27" s="504">
        <v>0</v>
      </c>
      <c r="T27" s="504">
        <v>0</v>
      </c>
      <c r="U27" s="504">
        <v>0</v>
      </c>
      <c r="W27" s="503">
        <v>0</v>
      </c>
      <c r="X27" s="397">
        <v>0</v>
      </c>
      <c r="Y27" s="397">
        <v>0</v>
      </c>
      <c r="Z27" s="397">
        <v>0</v>
      </c>
      <c r="AB27" s="503">
        <v>0</v>
      </c>
      <c r="AC27" s="397">
        <v>0</v>
      </c>
      <c r="AD27" s="397">
        <v>31</v>
      </c>
      <c r="AE27" s="504">
        <v>61</v>
      </c>
      <c r="AG27" s="397">
        <v>0</v>
      </c>
      <c r="AH27" s="397">
        <v>346</v>
      </c>
      <c r="AI27" s="397">
        <v>443</v>
      </c>
      <c r="AJ27" s="397">
        <v>734</v>
      </c>
      <c r="AK27" s="397">
        <v>341</v>
      </c>
      <c r="AL27" s="397">
        <v>0</v>
      </c>
      <c r="AM27" s="397">
        <v>0</v>
      </c>
      <c r="AN27" s="397">
        <v>0</v>
      </c>
      <c r="AO27" s="397">
        <v>0</v>
      </c>
      <c r="AP27" s="397">
        <v>0</v>
      </c>
      <c r="AQ27" s="272">
        <v>0</v>
      </c>
    </row>
    <row r="28" spans="1:43" ht="12" customHeight="1">
      <c r="A28" s="668" t="s">
        <v>218</v>
      </c>
      <c r="B28" s="668"/>
      <c r="C28" s="493"/>
      <c r="D28" s="497">
        <v>6805</v>
      </c>
      <c r="F28" s="496">
        <f>F20+F21+F22+F23+F26+F25</f>
        <v>6316</v>
      </c>
      <c r="H28" s="496">
        <f>H20+H21+H22+H23+H26+H25</f>
        <v>6418</v>
      </c>
      <c r="I28" s="497">
        <f>I20+I21+I22+I23+I26+I25</f>
        <v>6696</v>
      </c>
      <c r="J28" s="497">
        <f>J20+J21+J22+J23+J26+J25</f>
        <v>6595</v>
      </c>
      <c r="K28" s="497">
        <f>K20+K21+K22+K23+K26+K25</f>
        <v>6240</v>
      </c>
      <c r="M28" s="496">
        <f>M20+M21+M22+M23+M26+M25</f>
        <v>6648</v>
      </c>
      <c r="N28" s="497">
        <f>N20+N21+N22+N23+N26+N25</f>
        <v>6773</v>
      </c>
      <c r="O28" s="497">
        <v>7234</v>
      </c>
      <c r="P28" s="497">
        <f>SUM(P20:P26)</f>
        <v>7607</v>
      </c>
      <c r="R28" s="496">
        <f>R20+R21+R22+R23+R26+R25</f>
        <v>8169</v>
      </c>
      <c r="S28" s="497">
        <f>S20+S21+S22+S23+S26+S25</f>
        <v>8482</v>
      </c>
      <c r="T28" s="497">
        <f>T20+T21+T22+T23+T26+T25</f>
        <v>8537</v>
      </c>
      <c r="U28" s="497">
        <f>U20+U21+U22+U23+U25+U26</f>
        <v>7862</v>
      </c>
      <c r="W28" s="496">
        <f>W20+W21+W22+W23+W25+W26</f>
        <v>8041</v>
      </c>
      <c r="X28" s="356">
        <f>X20+X21+X22+X23+X25+X26</f>
        <v>8464</v>
      </c>
      <c r="Y28" s="356">
        <f>Y20+Y21+Y22+Y23+Y25+Y26</f>
        <v>8405</v>
      </c>
      <c r="Z28" s="356">
        <v>7740</v>
      </c>
      <c r="AB28" s="496">
        <v>9911</v>
      </c>
      <c r="AC28" s="356">
        <v>8681</v>
      </c>
      <c r="AD28" s="356">
        <v>7990</v>
      </c>
      <c r="AE28" s="497">
        <v>8733</v>
      </c>
      <c r="AG28" s="356">
        <v>9171</v>
      </c>
      <c r="AH28" s="356">
        <v>9086</v>
      </c>
      <c r="AI28" s="356">
        <v>9083</v>
      </c>
      <c r="AJ28" s="356">
        <v>11363</v>
      </c>
      <c r="AK28" s="356">
        <v>12874</v>
      </c>
      <c r="AL28" s="356">
        <v>13427</v>
      </c>
      <c r="AM28" s="356">
        <v>13305</v>
      </c>
      <c r="AN28" s="356">
        <v>13065</v>
      </c>
      <c r="AO28" s="356">
        <v>12982</v>
      </c>
      <c r="AP28" s="356">
        <v>13574</v>
      </c>
      <c r="AQ28" s="273">
        <v>13284</v>
      </c>
    </row>
    <row r="29" spans="1:250" ht="12" customHeight="1">
      <c r="A29" s="668" t="s">
        <v>219</v>
      </c>
      <c r="B29" s="668"/>
      <c r="C29" s="493"/>
      <c r="D29" s="497">
        <v>40374</v>
      </c>
      <c r="F29" s="496">
        <f>F19+F28</f>
        <v>36764</v>
      </c>
      <c r="H29" s="496">
        <f>H19+H28</f>
        <v>37098</v>
      </c>
      <c r="I29" s="497">
        <f>I19+I28</f>
        <v>38411</v>
      </c>
      <c r="J29" s="497">
        <f>J19+J28</f>
        <v>37891</v>
      </c>
      <c r="K29" s="497">
        <f>K19+K28</f>
        <v>33442</v>
      </c>
      <c r="M29" s="496">
        <f>M19+M28</f>
        <v>33629</v>
      </c>
      <c r="N29" s="497">
        <f>N19+N28</f>
        <v>33501</v>
      </c>
      <c r="O29" s="497">
        <f>O19+O28</f>
        <v>34306</v>
      </c>
      <c r="P29" s="497">
        <f>P19+P28</f>
        <v>34122</v>
      </c>
      <c r="R29" s="496">
        <f>R19+R28</f>
        <v>34904</v>
      </c>
      <c r="S29" s="497">
        <f>S19+S28</f>
        <v>36071</v>
      </c>
      <c r="T29" s="497">
        <f>T19+T28</f>
        <v>36221</v>
      </c>
      <c r="U29" s="497">
        <f>U28+U19</f>
        <v>37237</v>
      </c>
      <c r="W29" s="496">
        <f>W28+W19</f>
        <v>38518</v>
      </c>
      <c r="X29" s="356">
        <f>X28+X19</f>
        <v>39045</v>
      </c>
      <c r="Y29" s="356">
        <f>Y28+Y19</f>
        <v>40099</v>
      </c>
      <c r="Z29" s="356">
        <v>39409</v>
      </c>
      <c r="AB29" s="496">
        <v>42596</v>
      </c>
      <c r="AC29" s="356">
        <v>41584</v>
      </c>
      <c r="AD29" s="356">
        <v>41716</v>
      </c>
      <c r="AE29" s="497">
        <v>42780</v>
      </c>
      <c r="AG29" s="356">
        <v>43812</v>
      </c>
      <c r="AH29" s="356">
        <v>45055</v>
      </c>
      <c r="AI29" s="356">
        <v>46146</v>
      </c>
      <c r="AJ29" s="356">
        <v>48027</v>
      </c>
      <c r="AK29" s="356">
        <v>50041</v>
      </c>
      <c r="AL29" s="356">
        <v>53106</v>
      </c>
      <c r="AM29" s="356">
        <v>54839</v>
      </c>
      <c r="AN29" s="356">
        <v>53444</v>
      </c>
      <c r="AO29" s="356">
        <v>53335</v>
      </c>
      <c r="AP29" s="356">
        <v>54201</v>
      </c>
      <c r="AQ29" s="273">
        <v>55497</v>
      </c>
      <c r="AR29" s="500"/>
      <c r="AS29" s="500"/>
      <c r="AT29" s="500"/>
      <c r="AU29" s="500"/>
      <c r="AV29" s="500"/>
      <c r="AW29" s="500"/>
      <c r="AX29" s="500"/>
      <c r="AY29" s="500"/>
      <c r="AZ29" s="500"/>
      <c r="BA29" s="500"/>
      <c r="BB29" s="500"/>
      <c r="BC29" s="500"/>
      <c r="BD29" s="500"/>
      <c r="BE29" s="500"/>
      <c r="BF29" s="500"/>
      <c r="BG29" s="500"/>
      <c r="BH29" s="500"/>
      <c r="BI29" s="500"/>
      <c r="BJ29" s="500"/>
      <c r="BK29" s="500"/>
      <c r="BL29" s="500"/>
      <c r="BM29" s="500"/>
      <c r="BN29" s="500"/>
      <c r="BO29" s="500"/>
      <c r="BP29" s="500"/>
      <c r="BQ29" s="500"/>
      <c r="BR29" s="500"/>
      <c r="BS29" s="500"/>
      <c r="BT29" s="500"/>
      <c r="BU29" s="500"/>
      <c r="BV29" s="500"/>
      <c r="BW29" s="500"/>
      <c r="BX29" s="500"/>
      <c r="BY29" s="500"/>
      <c r="BZ29" s="500"/>
      <c r="CA29" s="500"/>
      <c r="CB29" s="500"/>
      <c r="CC29" s="500"/>
      <c r="CD29" s="500"/>
      <c r="CE29" s="500"/>
      <c r="CF29" s="500"/>
      <c r="CG29" s="500"/>
      <c r="CH29" s="500"/>
      <c r="CI29" s="500"/>
      <c r="CJ29" s="500"/>
      <c r="CK29" s="500"/>
      <c r="CL29" s="500"/>
      <c r="CM29" s="500"/>
      <c r="CN29" s="500"/>
      <c r="CO29" s="500"/>
      <c r="CP29" s="500"/>
      <c r="CQ29" s="500"/>
      <c r="CR29" s="500"/>
      <c r="CS29" s="500"/>
      <c r="CT29" s="500"/>
      <c r="CU29" s="500"/>
      <c r="CV29" s="500"/>
      <c r="CW29" s="500"/>
      <c r="CX29" s="500"/>
      <c r="CY29" s="500"/>
      <c r="CZ29" s="500"/>
      <c r="DA29" s="500"/>
      <c r="DB29" s="500"/>
      <c r="DC29" s="500"/>
      <c r="DD29" s="500"/>
      <c r="DE29" s="500"/>
      <c r="DF29" s="500"/>
      <c r="DG29" s="500"/>
      <c r="DH29" s="500"/>
      <c r="DI29" s="500"/>
      <c r="DJ29" s="500"/>
      <c r="DK29" s="500"/>
      <c r="DL29" s="500"/>
      <c r="DM29" s="500"/>
      <c r="DN29" s="500"/>
      <c r="DO29" s="500"/>
      <c r="DP29" s="500"/>
      <c r="DQ29" s="500"/>
      <c r="DR29" s="500"/>
      <c r="DS29" s="500"/>
      <c r="DT29" s="500"/>
      <c r="DU29" s="500"/>
      <c r="DV29" s="500"/>
      <c r="DW29" s="500"/>
      <c r="DX29" s="500"/>
      <c r="DY29" s="500"/>
      <c r="DZ29" s="500"/>
      <c r="EA29" s="500"/>
      <c r="EB29" s="500"/>
      <c r="EC29" s="500"/>
      <c r="ED29" s="500"/>
      <c r="EE29" s="500"/>
      <c r="EF29" s="500"/>
      <c r="EG29" s="500"/>
      <c r="EH29" s="500"/>
      <c r="EI29" s="500"/>
      <c r="EJ29" s="500"/>
      <c r="EK29" s="500"/>
      <c r="EL29" s="500"/>
      <c r="EM29" s="500"/>
      <c r="EN29" s="500"/>
      <c r="EO29" s="500"/>
      <c r="EP29" s="500"/>
      <c r="EQ29" s="500"/>
      <c r="ER29" s="500"/>
      <c r="ES29" s="500"/>
      <c r="ET29" s="500"/>
      <c r="EU29" s="500"/>
      <c r="EV29" s="500"/>
      <c r="EW29" s="500"/>
      <c r="EX29" s="500"/>
      <c r="EY29" s="500"/>
      <c r="EZ29" s="500"/>
      <c r="FA29" s="500"/>
      <c r="FB29" s="500"/>
      <c r="FC29" s="500"/>
      <c r="FD29" s="500"/>
      <c r="FE29" s="500"/>
      <c r="FF29" s="500"/>
      <c r="FG29" s="500"/>
      <c r="FH29" s="500"/>
      <c r="FI29" s="500"/>
      <c r="FJ29" s="500"/>
      <c r="FK29" s="500"/>
      <c r="FL29" s="500"/>
      <c r="FM29" s="500"/>
      <c r="FN29" s="500"/>
      <c r="FO29" s="500"/>
      <c r="FP29" s="500"/>
      <c r="FQ29" s="500"/>
      <c r="FR29" s="500"/>
      <c r="FS29" s="500"/>
      <c r="FT29" s="500"/>
      <c r="FU29" s="500"/>
      <c r="FV29" s="500"/>
      <c r="FW29" s="500"/>
      <c r="FX29" s="500"/>
      <c r="FY29" s="500"/>
      <c r="FZ29" s="500"/>
      <c r="GA29" s="500"/>
      <c r="GB29" s="500"/>
      <c r="GC29" s="500"/>
      <c r="GD29" s="500"/>
      <c r="GE29" s="500"/>
      <c r="GF29" s="500"/>
      <c r="GG29" s="500"/>
      <c r="GH29" s="500"/>
      <c r="GI29" s="500"/>
      <c r="GJ29" s="500"/>
      <c r="GK29" s="500"/>
      <c r="GL29" s="500"/>
      <c r="GM29" s="500"/>
      <c r="GN29" s="500"/>
      <c r="GO29" s="500"/>
      <c r="GP29" s="500"/>
      <c r="GQ29" s="500"/>
      <c r="GR29" s="500"/>
      <c r="GS29" s="500"/>
      <c r="GT29" s="500"/>
      <c r="GU29" s="500"/>
      <c r="GV29" s="500"/>
      <c r="GW29" s="500"/>
      <c r="GX29" s="500"/>
      <c r="GY29" s="500"/>
      <c r="GZ29" s="500"/>
      <c r="HA29" s="500"/>
      <c r="HB29" s="500"/>
      <c r="HC29" s="500"/>
      <c r="HD29" s="500"/>
      <c r="HE29" s="500"/>
      <c r="HF29" s="500"/>
      <c r="HG29" s="500"/>
      <c r="HH29" s="500"/>
      <c r="HI29" s="500"/>
      <c r="HJ29" s="500"/>
      <c r="HK29" s="500"/>
      <c r="HL29" s="500"/>
      <c r="HM29" s="500"/>
      <c r="HN29" s="500"/>
      <c r="HO29" s="500"/>
      <c r="HP29" s="500"/>
      <c r="HQ29" s="500"/>
      <c r="HR29" s="500"/>
      <c r="HS29" s="500"/>
      <c r="HT29" s="500"/>
      <c r="HU29" s="500"/>
      <c r="HV29" s="500"/>
      <c r="HW29" s="500"/>
      <c r="HX29" s="500"/>
      <c r="HY29" s="500"/>
      <c r="HZ29" s="500"/>
      <c r="IA29" s="500"/>
      <c r="IB29" s="500"/>
      <c r="IC29" s="500"/>
      <c r="ID29" s="500"/>
      <c r="IE29" s="500"/>
      <c r="IF29" s="500"/>
      <c r="IG29" s="500"/>
      <c r="IH29" s="500"/>
      <c r="II29" s="500"/>
      <c r="IJ29" s="500"/>
      <c r="IK29" s="500"/>
      <c r="IL29" s="500"/>
      <c r="IM29" s="500"/>
      <c r="IN29" s="500"/>
      <c r="IO29" s="500"/>
      <c r="IP29" s="500"/>
    </row>
    <row r="30" spans="1:250" ht="12" customHeight="1">
      <c r="A30" s="495"/>
      <c r="B30" s="495"/>
      <c r="C30" s="495"/>
      <c r="D30" s="549"/>
      <c r="F30" s="549"/>
      <c r="H30" s="549"/>
      <c r="I30" s="549"/>
      <c r="J30" s="549"/>
      <c r="K30" s="550"/>
      <c r="M30" s="549"/>
      <c r="N30" s="550"/>
      <c r="O30" s="550"/>
      <c r="P30" s="550"/>
      <c r="R30" s="550"/>
      <c r="S30" s="550"/>
      <c r="T30" s="550"/>
      <c r="U30" s="550"/>
      <c r="W30" s="550"/>
      <c r="X30" s="551"/>
      <c r="Y30" s="552"/>
      <c r="Z30" s="552"/>
      <c r="AB30" s="550"/>
      <c r="AC30" s="552"/>
      <c r="AD30" s="500"/>
      <c r="AE30" s="500"/>
      <c r="AG30" s="553"/>
      <c r="AH30" s="553"/>
      <c r="AI30" s="553"/>
      <c r="AJ30" s="553"/>
      <c r="AK30" s="553"/>
      <c r="AL30" s="553"/>
      <c r="AM30" s="553"/>
      <c r="AN30" s="553"/>
      <c r="AO30" s="553"/>
      <c r="AP30" s="553"/>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500"/>
      <c r="BM30" s="500"/>
      <c r="BN30" s="500"/>
      <c r="BO30" s="500"/>
      <c r="BP30" s="500"/>
      <c r="BQ30" s="500"/>
      <c r="BR30" s="500"/>
      <c r="BS30" s="500"/>
      <c r="BT30" s="500"/>
      <c r="BU30" s="500"/>
      <c r="BV30" s="500"/>
      <c r="BW30" s="500"/>
      <c r="BX30" s="500"/>
      <c r="BY30" s="500"/>
      <c r="BZ30" s="500"/>
      <c r="CA30" s="500"/>
      <c r="CB30" s="500"/>
      <c r="CC30" s="500"/>
      <c r="CD30" s="500"/>
      <c r="CE30" s="500"/>
      <c r="CF30" s="500"/>
      <c r="CG30" s="500"/>
      <c r="CH30" s="500"/>
      <c r="CI30" s="500"/>
      <c r="CJ30" s="500"/>
      <c r="CK30" s="500"/>
      <c r="CL30" s="500"/>
      <c r="CM30" s="500"/>
      <c r="CN30" s="500"/>
      <c r="CO30" s="500"/>
      <c r="CP30" s="500"/>
      <c r="CQ30" s="500"/>
      <c r="CR30" s="500"/>
      <c r="CS30" s="500"/>
      <c r="CT30" s="500"/>
      <c r="CU30" s="500"/>
      <c r="CV30" s="500"/>
      <c r="CW30" s="500"/>
      <c r="CX30" s="500"/>
      <c r="CY30" s="500"/>
      <c r="CZ30" s="500"/>
      <c r="DA30" s="500"/>
      <c r="DB30" s="500"/>
      <c r="DC30" s="500"/>
      <c r="DD30" s="500"/>
      <c r="DE30" s="500"/>
      <c r="DF30" s="500"/>
      <c r="DG30" s="500"/>
      <c r="DH30" s="500"/>
      <c r="DI30" s="500"/>
      <c r="DJ30" s="500"/>
      <c r="DK30" s="500"/>
      <c r="DL30" s="500"/>
      <c r="DM30" s="500"/>
      <c r="DN30" s="500"/>
      <c r="DO30" s="500"/>
      <c r="DP30" s="500"/>
      <c r="DQ30" s="500"/>
      <c r="DR30" s="500"/>
      <c r="DS30" s="500"/>
      <c r="DT30" s="500"/>
      <c r="DU30" s="500"/>
      <c r="DV30" s="500"/>
      <c r="DW30" s="500"/>
      <c r="DX30" s="500"/>
      <c r="DY30" s="500"/>
      <c r="DZ30" s="500"/>
      <c r="EA30" s="500"/>
      <c r="EB30" s="500"/>
      <c r="EC30" s="500"/>
      <c r="ED30" s="500"/>
      <c r="EE30" s="500"/>
      <c r="EF30" s="500"/>
      <c r="EG30" s="500"/>
      <c r="EH30" s="500"/>
      <c r="EI30" s="500"/>
      <c r="EJ30" s="500"/>
      <c r="EK30" s="500"/>
      <c r="EL30" s="500"/>
      <c r="EM30" s="500"/>
      <c r="EN30" s="500"/>
      <c r="EO30" s="500"/>
      <c r="EP30" s="500"/>
      <c r="EQ30" s="500"/>
      <c r="ER30" s="500"/>
      <c r="ES30" s="500"/>
      <c r="ET30" s="500"/>
      <c r="EU30" s="500"/>
      <c r="EV30" s="500"/>
      <c r="EW30" s="500"/>
      <c r="EX30" s="500"/>
      <c r="EY30" s="500"/>
      <c r="EZ30" s="500"/>
      <c r="FA30" s="500"/>
      <c r="FB30" s="500"/>
      <c r="FC30" s="500"/>
      <c r="FD30" s="500"/>
      <c r="FE30" s="500"/>
      <c r="FF30" s="500"/>
      <c r="FG30" s="500"/>
      <c r="FH30" s="500"/>
      <c r="FI30" s="500"/>
      <c r="FJ30" s="500"/>
      <c r="FK30" s="500"/>
      <c r="FL30" s="500"/>
      <c r="FM30" s="500"/>
      <c r="FN30" s="500"/>
      <c r="FO30" s="500"/>
      <c r="FP30" s="500"/>
      <c r="FQ30" s="500"/>
      <c r="FR30" s="500"/>
      <c r="FS30" s="500"/>
      <c r="FT30" s="500"/>
      <c r="FU30" s="500"/>
      <c r="FV30" s="500"/>
      <c r="FW30" s="500"/>
      <c r="FX30" s="500"/>
      <c r="FY30" s="500"/>
      <c r="FZ30" s="500"/>
      <c r="GA30" s="500"/>
      <c r="GB30" s="500"/>
      <c r="GC30" s="500"/>
      <c r="GD30" s="500"/>
      <c r="GE30" s="500"/>
      <c r="GF30" s="500"/>
      <c r="GG30" s="500"/>
      <c r="GH30" s="500"/>
      <c r="GI30" s="500"/>
      <c r="GJ30" s="500"/>
      <c r="GK30" s="500"/>
      <c r="GL30" s="500"/>
      <c r="GM30" s="500"/>
      <c r="GN30" s="500"/>
      <c r="GO30" s="500"/>
      <c r="GP30" s="500"/>
      <c r="GQ30" s="500"/>
      <c r="GR30" s="500"/>
      <c r="GS30" s="500"/>
      <c r="GT30" s="500"/>
      <c r="GU30" s="500"/>
      <c r="GV30" s="500"/>
      <c r="GW30" s="500"/>
      <c r="GX30" s="500"/>
      <c r="GY30" s="500"/>
      <c r="GZ30" s="500"/>
      <c r="HA30" s="500"/>
      <c r="HB30" s="500"/>
      <c r="HC30" s="500"/>
      <c r="HD30" s="500"/>
      <c r="HE30" s="500"/>
      <c r="HF30" s="500"/>
      <c r="HG30" s="500"/>
      <c r="HH30" s="500"/>
      <c r="HI30" s="500"/>
      <c r="HJ30" s="500"/>
      <c r="HK30" s="500"/>
      <c r="HL30" s="500"/>
      <c r="HM30" s="500"/>
      <c r="HN30" s="500"/>
      <c r="HO30" s="500"/>
      <c r="HP30" s="500"/>
      <c r="HQ30" s="500"/>
      <c r="HR30" s="500"/>
      <c r="HS30" s="500"/>
      <c r="HT30" s="500"/>
      <c r="HU30" s="500"/>
      <c r="HV30" s="500"/>
      <c r="HW30" s="500"/>
      <c r="HX30" s="500"/>
      <c r="HY30" s="500"/>
      <c r="HZ30" s="500"/>
      <c r="IA30" s="500"/>
      <c r="IB30" s="500"/>
      <c r="IC30" s="500"/>
      <c r="ID30" s="500"/>
      <c r="IE30" s="500"/>
      <c r="IF30" s="500"/>
      <c r="IG30" s="500"/>
      <c r="IH30" s="500"/>
      <c r="II30" s="500"/>
      <c r="IJ30" s="500"/>
      <c r="IK30" s="500"/>
      <c r="IL30" s="500"/>
      <c r="IM30" s="500"/>
      <c r="IN30" s="500"/>
      <c r="IO30" s="500"/>
      <c r="IP30" s="500"/>
    </row>
    <row r="31" spans="1:33" ht="12" customHeight="1">
      <c r="A31" s="670" t="s">
        <v>220</v>
      </c>
      <c r="B31" s="670"/>
      <c r="C31" s="493"/>
      <c r="D31" s="554"/>
      <c r="F31" s="554"/>
      <c r="H31" s="554"/>
      <c r="I31" s="554"/>
      <c r="J31" s="554"/>
      <c r="K31" s="528"/>
      <c r="M31" s="554"/>
      <c r="N31" s="528"/>
      <c r="O31" s="528"/>
      <c r="P31" s="528"/>
      <c r="R31" s="528"/>
      <c r="S31" s="528"/>
      <c r="T31" s="555"/>
      <c r="U31" s="528"/>
      <c r="W31" s="550"/>
      <c r="X31" s="556"/>
      <c r="Y31" s="164"/>
      <c r="Z31" s="164"/>
      <c r="AB31" s="550"/>
      <c r="AC31" s="164"/>
      <c r="AG31" s="177"/>
    </row>
    <row r="32" spans="1:43" ht="12" customHeight="1">
      <c r="A32" s="608" t="s">
        <v>221</v>
      </c>
      <c r="B32" s="582"/>
      <c r="D32" s="504">
        <v>2000</v>
      </c>
      <c r="F32" s="503">
        <v>2000</v>
      </c>
      <c r="H32" s="503">
        <v>2000</v>
      </c>
      <c r="I32" s="504">
        <v>2000</v>
      </c>
      <c r="J32" s="504">
        <v>2000</v>
      </c>
      <c r="K32" s="504">
        <v>2000</v>
      </c>
      <c r="M32" s="503">
        <v>2000</v>
      </c>
      <c r="N32" s="504">
        <v>2000</v>
      </c>
      <c r="O32" s="504">
        <v>2000</v>
      </c>
      <c r="P32" s="504">
        <v>2000</v>
      </c>
      <c r="R32" s="503">
        <v>2000</v>
      </c>
      <c r="S32" s="504">
        <v>2000</v>
      </c>
      <c r="T32" s="504">
        <v>2000</v>
      </c>
      <c r="U32" s="504">
        <v>2000</v>
      </c>
      <c r="W32" s="503">
        <v>2000</v>
      </c>
      <c r="X32" s="397">
        <v>2000</v>
      </c>
      <c r="Y32" s="397">
        <v>2000</v>
      </c>
      <c r="Z32" s="397">
        <v>2000</v>
      </c>
      <c r="AB32" s="503">
        <v>2000</v>
      </c>
      <c r="AC32" s="397">
        <v>2000</v>
      </c>
      <c r="AD32" s="397">
        <v>2000</v>
      </c>
      <c r="AE32" s="504">
        <v>2000</v>
      </c>
      <c r="AG32" s="397">
        <v>2000</v>
      </c>
      <c r="AH32" s="397">
        <v>2000</v>
      </c>
      <c r="AI32" s="397">
        <v>2000</v>
      </c>
      <c r="AJ32" s="397">
        <v>2000</v>
      </c>
      <c r="AK32" s="397">
        <v>2000</v>
      </c>
      <c r="AL32" s="397">
        <v>2000</v>
      </c>
      <c r="AM32" s="397">
        <v>2000</v>
      </c>
      <c r="AN32" s="397">
        <v>2000</v>
      </c>
      <c r="AO32" s="397">
        <v>2000</v>
      </c>
      <c r="AP32" s="397">
        <v>2000</v>
      </c>
      <c r="AQ32" s="272">
        <v>2000</v>
      </c>
    </row>
    <row r="33" spans="1:43" ht="12" customHeight="1">
      <c r="A33" s="608" t="s">
        <v>222</v>
      </c>
      <c r="B33" s="582"/>
      <c r="D33" s="504">
        <v>377</v>
      </c>
      <c r="F33" s="503">
        <v>-64</v>
      </c>
      <c r="H33" s="503">
        <v>48</v>
      </c>
      <c r="I33" s="504">
        <v>-64</v>
      </c>
      <c r="J33" s="504">
        <v>-75</v>
      </c>
      <c r="K33" s="504">
        <v>-183</v>
      </c>
      <c r="M33" s="503">
        <v>26</v>
      </c>
      <c r="N33" s="504">
        <v>100</v>
      </c>
      <c r="O33" s="504">
        <v>170</v>
      </c>
      <c r="P33" s="504">
        <v>158</v>
      </c>
      <c r="R33" s="503">
        <v>-556</v>
      </c>
      <c r="S33" s="504">
        <v>-636</v>
      </c>
      <c r="T33" s="504">
        <v>-537</v>
      </c>
      <c r="U33" s="504">
        <v>-444</v>
      </c>
      <c r="W33" s="503">
        <v>-682</v>
      </c>
      <c r="X33" s="397">
        <v>-468</v>
      </c>
      <c r="Y33" s="397">
        <v>-767</v>
      </c>
      <c r="Z33" s="397">
        <v>-738</v>
      </c>
      <c r="AB33" s="503">
        <v>-796</v>
      </c>
      <c r="AC33" s="397">
        <v>-897</v>
      </c>
      <c r="AD33" s="397">
        <v>-786</v>
      </c>
      <c r="AE33" s="504">
        <v>-1430</v>
      </c>
      <c r="AG33" s="397">
        <v>-2189</v>
      </c>
      <c r="AH33" s="397">
        <v>-2076</v>
      </c>
      <c r="AI33" s="397">
        <v>-1452</v>
      </c>
      <c r="AJ33" s="397">
        <v>-1705</v>
      </c>
      <c r="AK33" s="397">
        <v>-1949</v>
      </c>
      <c r="AL33" s="397">
        <v>-670</v>
      </c>
      <c r="AM33" s="397">
        <v>-1085</v>
      </c>
      <c r="AN33" s="397">
        <v>-427</v>
      </c>
      <c r="AO33" s="397">
        <v>-469</v>
      </c>
      <c r="AP33" s="397">
        <v>180</v>
      </c>
      <c r="AQ33" s="272">
        <v>20</v>
      </c>
    </row>
    <row r="34" spans="1:43" ht="21" customHeight="1">
      <c r="A34" s="608"/>
      <c r="B34" s="582" t="s">
        <v>223</v>
      </c>
      <c r="D34" s="504">
        <v>741</v>
      </c>
      <c r="F34" s="503">
        <v>1868</v>
      </c>
      <c r="H34" s="503">
        <v>1704</v>
      </c>
      <c r="I34" s="504">
        <v>1917</v>
      </c>
      <c r="J34" s="504">
        <v>1869</v>
      </c>
      <c r="K34" s="504">
        <v>2216</v>
      </c>
      <c r="M34" s="503">
        <v>2160</v>
      </c>
      <c r="N34" s="504">
        <v>2272</v>
      </c>
      <c r="O34" s="504">
        <v>2341</v>
      </c>
      <c r="P34" s="504">
        <v>2427</v>
      </c>
      <c r="R34" s="503">
        <v>2313</v>
      </c>
      <c r="S34" s="504">
        <v>2094</v>
      </c>
      <c r="T34" s="504">
        <v>2172</v>
      </c>
      <c r="U34" s="504">
        <v>2005</v>
      </c>
      <c r="W34" s="503">
        <v>1906</v>
      </c>
      <c r="X34" s="397">
        <v>1897</v>
      </c>
      <c r="Y34" s="397">
        <v>1845</v>
      </c>
      <c r="Z34" s="397">
        <v>1954</v>
      </c>
      <c r="AB34" s="503">
        <v>1583</v>
      </c>
      <c r="AC34" s="397">
        <v>1616</v>
      </c>
      <c r="AD34" s="397">
        <v>1657</v>
      </c>
      <c r="AE34" s="504">
        <v>1728</v>
      </c>
      <c r="AG34" s="397">
        <v>1550</v>
      </c>
      <c r="AH34" s="397">
        <v>1755</v>
      </c>
      <c r="AI34" s="397">
        <v>1817</v>
      </c>
      <c r="AJ34" s="397">
        <v>2219</v>
      </c>
      <c r="AK34" s="397">
        <v>2123</v>
      </c>
      <c r="AL34" s="397">
        <v>2145</v>
      </c>
      <c r="AM34" s="397">
        <v>2093</v>
      </c>
      <c r="AN34" s="397">
        <v>1812</v>
      </c>
      <c r="AO34" s="397">
        <v>1716</v>
      </c>
      <c r="AP34" s="397">
        <v>1647</v>
      </c>
      <c r="AQ34" s="272">
        <v>1689</v>
      </c>
    </row>
    <row r="35" spans="1:43" ht="12" customHeight="1">
      <c r="A35" s="608" t="s">
        <v>224</v>
      </c>
      <c r="B35" s="582"/>
      <c r="D35" s="504">
        <v>22184</v>
      </c>
      <c r="F35" s="503">
        <v>16407</v>
      </c>
      <c r="H35" s="503">
        <v>16569</v>
      </c>
      <c r="I35" s="504">
        <v>16405</v>
      </c>
      <c r="J35" s="504">
        <v>16735</v>
      </c>
      <c r="K35" s="504">
        <v>11739</v>
      </c>
      <c r="M35" s="503">
        <v>12449</v>
      </c>
      <c r="N35" s="504">
        <v>12591</v>
      </c>
      <c r="O35" s="504">
        <v>13195</v>
      </c>
      <c r="P35" s="504">
        <v>13109</v>
      </c>
      <c r="R35" s="503">
        <v>14354</v>
      </c>
      <c r="S35" s="504">
        <v>14525</v>
      </c>
      <c r="T35" s="504">
        <v>14889</v>
      </c>
      <c r="U35" s="504">
        <v>15572</v>
      </c>
      <c r="W35" s="503">
        <v>16124</v>
      </c>
      <c r="X35" s="397">
        <v>16442</v>
      </c>
      <c r="Y35" s="397">
        <v>17137</v>
      </c>
      <c r="Z35" s="397">
        <v>16894</v>
      </c>
      <c r="AB35" s="503">
        <v>17586</v>
      </c>
      <c r="AC35" s="397">
        <v>17596</v>
      </c>
      <c r="AD35" s="397">
        <v>18068</v>
      </c>
      <c r="AE35" s="504">
        <v>18694</v>
      </c>
      <c r="AG35" s="397">
        <v>20042</v>
      </c>
      <c r="AH35" s="397">
        <v>22101</v>
      </c>
      <c r="AI35" s="397">
        <v>23138</v>
      </c>
      <c r="AJ35" s="397">
        <v>24532</v>
      </c>
      <c r="AK35" s="397">
        <v>26432</v>
      </c>
      <c r="AL35" s="397">
        <v>28112</v>
      </c>
      <c r="AM35" s="397">
        <v>29198</v>
      </c>
      <c r="AN35" s="397">
        <v>28704</v>
      </c>
      <c r="AO35" s="397">
        <v>28867</v>
      </c>
      <c r="AP35" s="397">
        <v>28898</v>
      </c>
      <c r="AQ35" s="272">
        <v>29332</v>
      </c>
    </row>
    <row r="36" spans="1:43" ht="12" customHeight="1">
      <c r="A36" s="665" t="s">
        <v>225</v>
      </c>
      <c r="B36" s="665"/>
      <c r="D36" s="504">
        <v>25302</v>
      </c>
      <c r="F36" s="503">
        <f>F32+F33+F35+F34</f>
        <v>20211</v>
      </c>
      <c r="H36" s="503">
        <f>H32+H33+H35+H34</f>
        <v>20321</v>
      </c>
      <c r="I36" s="504">
        <f>I32+I33+I35+I34</f>
        <v>20258</v>
      </c>
      <c r="J36" s="504">
        <f>J32+J33+J35+J34</f>
        <v>20529</v>
      </c>
      <c r="K36" s="504">
        <f>K32+K33+K35+K34</f>
        <v>15772</v>
      </c>
      <c r="M36" s="503">
        <v>16635</v>
      </c>
      <c r="N36" s="504">
        <f>N35+N34+N33+N32</f>
        <v>16963</v>
      </c>
      <c r="O36" s="504">
        <v>17706</v>
      </c>
      <c r="P36" s="504">
        <f>SUM(P32:P35)</f>
        <v>17694</v>
      </c>
      <c r="R36" s="503">
        <f>SUM(R32:R35)</f>
        <v>18111</v>
      </c>
      <c r="S36" s="504">
        <f>SUM(S32:S35)</f>
        <v>17983</v>
      </c>
      <c r="T36" s="504">
        <f>SUM(T32:T35)</f>
        <v>18524</v>
      </c>
      <c r="U36" s="504">
        <f>U32+U33+U34+U35</f>
        <v>19133</v>
      </c>
      <c r="W36" s="503">
        <f>W32+W33+W34+W35</f>
        <v>19348</v>
      </c>
      <c r="X36" s="397">
        <v>19871</v>
      </c>
      <c r="Y36" s="397">
        <f>Y32+Y33+Y34+Y35</f>
        <v>20215</v>
      </c>
      <c r="Z36" s="397">
        <v>20110</v>
      </c>
      <c r="AB36" s="503">
        <v>20373</v>
      </c>
      <c r="AC36" s="397">
        <v>20315</v>
      </c>
      <c r="AD36" s="397">
        <v>20939</v>
      </c>
      <c r="AE36" s="504">
        <v>20992</v>
      </c>
      <c r="AG36" s="397">
        <v>21403</v>
      </c>
      <c r="AH36" s="397">
        <v>23780</v>
      </c>
      <c r="AI36" s="397">
        <v>25503</v>
      </c>
      <c r="AJ36" s="397">
        <v>27046</v>
      </c>
      <c r="AK36" s="397">
        <v>28606</v>
      </c>
      <c r="AL36" s="397">
        <v>31587</v>
      </c>
      <c r="AM36" s="397">
        <v>32206</v>
      </c>
      <c r="AN36" s="397">
        <v>32089</v>
      </c>
      <c r="AO36" s="397">
        <v>32114</v>
      </c>
      <c r="AP36" s="397">
        <v>32725</v>
      </c>
      <c r="AQ36" s="272">
        <v>33041</v>
      </c>
    </row>
    <row r="37" spans="1:43" ht="12" customHeight="1">
      <c r="A37" s="671" t="s">
        <v>226</v>
      </c>
      <c r="B37" s="671"/>
      <c r="C37" s="557"/>
      <c r="D37" s="504">
        <v>228</v>
      </c>
      <c r="F37" s="503">
        <v>203</v>
      </c>
      <c r="H37" s="503">
        <v>218</v>
      </c>
      <c r="I37" s="504">
        <v>218</v>
      </c>
      <c r="J37" s="504">
        <v>215</v>
      </c>
      <c r="K37" s="504">
        <v>139</v>
      </c>
      <c r="M37" s="503">
        <v>136</v>
      </c>
      <c r="N37" s="504">
        <v>136</v>
      </c>
      <c r="O37" s="504">
        <v>144</v>
      </c>
      <c r="P37" s="504">
        <v>91</v>
      </c>
      <c r="R37" s="503">
        <v>90</v>
      </c>
      <c r="S37" s="504">
        <v>91</v>
      </c>
      <c r="T37" s="504">
        <v>93</v>
      </c>
      <c r="U37" s="504">
        <v>92</v>
      </c>
      <c r="W37" s="503">
        <v>93</v>
      </c>
      <c r="X37" s="397">
        <v>93</v>
      </c>
      <c r="Y37" s="397">
        <v>95</v>
      </c>
      <c r="Z37" s="397">
        <v>92</v>
      </c>
      <c r="AB37" s="503">
        <v>90</v>
      </c>
      <c r="AC37" s="397">
        <v>89</v>
      </c>
      <c r="AD37" s="397">
        <v>90</v>
      </c>
      <c r="AE37" s="504">
        <v>89</v>
      </c>
      <c r="AG37" s="397">
        <v>88</v>
      </c>
      <c r="AH37" s="397">
        <v>87</v>
      </c>
      <c r="AI37" s="397">
        <v>90</v>
      </c>
      <c r="AJ37" s="397">
        <v>92</v>
      </c>
      <c r="AK37" s="397">
        <v>55</v>
      </c>
      <c r="AL37" s="397">
        <v>57</v>
      </c>
      <c r="AM37" s="397">
        <v>58</v>
      </c>
      <c r="AN37" s="397">
        <v>57</v>
      </c>
      <c r="AO37" s="397">
        <v>58</v>
      </c>
      <c r="AP37" s="397">
        <v>66</v>
      </c>
      <c r="AQ37" s="272">
        <v>67</v>
      </c>
    </row>
    <row r="38" spans="1:43" ht="12" customHeight="1">
      <c r="A38" s="668" t="s">
        <v>227</v>
      </c>
      <c r="B38" s="668"/>
      <c r="C38" s="493"/>
      <c r="D38" s="497">
        <v>25530</v>
      </c>
      <c r="F38" s="496">
        <f>F32+F33+F35+F37+F34</f>
        <v>20414</v>
      </c>
      <c r="H38" s="496">
        <f>H32+H33+H35+H37+H34</f>
        <v>20539</v>
      </c>
      <c r="I38" s="497">
        <f>I32+I33+I35+I37+I34</f>
        <v>20476</v>
      </c>
      <c r="J38" s="497">
        <f>J32+J33+J35+J37+J34</f>
        <v>20744</v>
      </c>
      <c r="K38" s="497">
        <f>K32+K33+K35+K37+K34</f>
        <v>15911</v>
      </c>
      <c r="M38" s="496">
        <f aca="true" t="shared" si="0" ref="M38:T38">M32+M33+M35+M37+M34</f>
        <v>16771</v>
      </c>
      <c r="N38" s="497">
        <f t="shared" si="0"/>
        <v>17099</v>
      </c>
      <c r="O38" s="497">
        <f t="shared" si="0"/>
        <v>17850</v>
      </c>
      <c r="P38" s="497">
        <f t="shared" si="0"/>
        <v>17785</v>
      </c>
      <c r="R38" s="496">
        <f t="shared" si="0"/>
        <v>18201</v>
      </c>
      <c r="S38" s="497">
        <f t="shared" si="0"/>
        <v>18074</v>
      </c>
      <c r="T38" s="497">
        <f t="shared" si="0"/>
        <v>18617</v>
      </c>
      <c r="U38" s="497">
        <f>U37+U36</f>
        <v>19225</v>
      </c>
      <c r="W38" s="496">
        <f>W37+W36</f>
        <v>19441</v>
      </c>
      <c r="X38" s="356">
        <f>X37+X36</f>
        <v>19964</v>
      </c>
      <c r="Y38" s="356">
        <f>Y37+Y36</f>
        <v>20310</v>
      </c>
      <c r="Z38" s="356">
        <v>20202</v>
      </c>
      <c r="AB38" s="496">
        <v>20463</v>
      </c>
      <c r="AC38" s="356">
        <v>20404</v>
      </c>
      <c r="AD38" s="356">
        <v>21029</v>
      </c>
      <c r="AE38" s="497">
        <v>21081</v>
      </c>
      <c r="AG38" s="356">
        <v>21491</v>
      </c>
      <c r="AH38" s="356">
        <v>23867</v>
      </c>
      <c r="AI38" s="356">
        <v>25593</v>
      </c>
      <c r="AJ38" s="356">
        <v>27138</v>
      </c>
      <c r="AK38" s="356">
        <v>28661</v>
      </c>
      <c r="AL38" s="356">
        <v>31644</v>
      </c>
      <c r="AM38" s="356">
        <v>32264</v>
      </c>
      <c r="AN38" s="356">
        <v>32146</v>
      </c>
      <c r="AO38" s="356">
        <v>32172</v>
      </c>
      <c r="AP38" s="356">
        <v>32791</v>
      </c>
      <c r="AQ38" s="273">
        <v>33108</v>
      </c>
    </row>
    <row r="39" spans="1:43" ht="23.25" customHeight="1">
      <c r="A39" s="608" t="s">
        <v>228</v>
      </c>
      <c r="D39" s="504">
        <v>2997</v>
      </c>
      <c r="F39" s="503">
        <v>4870</v>
      </c>
      <c r="H39" s="503">
        <v>4412</v>
      </c>
      <c r="I39" s="504">
        <v>5816</v>
      </c>
      <c r="J39" s="504">
        <v>6469</v>
      </c>
      <c r="K39" s="504">
        <v>6539</v>
      </c>
      <c r="M39" s="503">
        <v>5587</v>
      </c>
      <c r="N39" s="504">
        <v>5493</v>
      </c>
      <c r="O39" s="504">
        <v>5790</v>
      </c>
      <c r="P39" s="504">
        <v>6191</v>
      </c>
      <c r="R39" s="503">
        <v>5986</v>
      </c>
      <c r="S39" s="504">
        <v>7472</v>
      </c>
      <c r="T39" s="504">
        <v>7134</v>
      </c>
      <c r="U39" s="504">
        <v>6878</v>
      </c>
      <c r="W39" s="503">
        <v>6867</v>
      </c>
      <c r="X39" s="397">
        <v>7910</v>
      </c>
      <c r="Y39" s="397">
        <v>7795</v>
      </c>
      <c r="Z39" s="397">
        <v>7525</v>
      </c>
      <c r="AB39" s="503">
        <v>9218</v>
      </c>
      <c r="AC39" s="397">
        <v>7697</v>
      </c>
      <c r="AD39" s="397">
        <v>7093</v>
      </c>
      <c r="AE39" s="504">
        <v>6928</v>
      </c>
      <c r="AG39" s="397">
        <v>6106</v>
      </c>
      <c r="AH39" s="397">
        <v>5505</v>
      </c>
      <c r="AI39" s="397">
        <v>5554</v>
      </c>
      <c r="AJ39" s="397">
        <v>5409</v>
      </c>
      <c r="AK39" s="397">
        <v>4809</v>
      </c>
      <c r="AL39" s="397">
        <v>4786</v>
      </c>
      <c r="AM39" s="397">
        <v>5549</v>
      </c>
      <c r="AN39" s="397">
        <v>5220</v>
      </c>
      <c r="AO39" s="397">
        <v>5899</v>
      </c>
      <c r="AP39" s="397">
        <v>5046</v>
      </c>
      <c r="AQ39" s="272">
        <v>5363</v>
      </c>
    </row>
    <row r="40" spans="1:43" ht="12" customHeight="1">
      <c r="A40" s="608" t="s">
        <v>204</v>
      </c>
      <c r="B40" s="608"/>
      <c r="D40" s="504">
        <v>123</v>
      </c>
      <c r="F40" s="503">
        <v>159</v>
      </c>
      <c r="H40" s="503">
        <v>154</v>
      </c>
      <c r="I40" s="504">
        <v>211</v>
      </c>
      <c r="J40" s="504">
        <v>125</v>
      </c>
      <c r="K40" s="504">
        <v>256</v>
      </c>
      <c r="M40" s="503">
        <v>153</v>
      </c>
      <c r="N40" s="504">
        <v>118</v>
      </c>
      <c r="O40" s="504">
        <v>169</v>
      </c>
      <c r="P40" s="504">
        <v>208</v>
      </c>
      <c r="R40" s="503">
        <v>178</v>
      </c>
      <c r="S40" s="504">
        <v>204</v>
      </c>
      <c r="T40" s="504">
        <v>183</v>
      </c>
      <c r="U40" s="504">
        <v>162</v>
      </c>
      <c r="W40" s="503">
        <v>171</v>
      </c>
      <c r="X40" s="397">
        <v>127</v>
      </c>
      <c r="Y40" s="397">
        <v>395</v>
      </c>
      <c r="Z40" s="397">
        <v>183</v>
      </c>
      <c r="AB40" s="503">
        <v>588</v>
      </c>
      <c r="AC40" s="397">
        <v>574</v>
      </c>
      <c r="AD40" s="397">
        <v>825</v>
      </c>
      <c r="AE40" s="504">
        <v>1006</v>
      </c>
      <c r="AG40" s="397">
        <v>1253</v>
      </c>
      <c r="AH40" s="397">
        <v>1156</v>
      </c>
      <c r="AI40" s="397">
        <v>975</v>
      </c>
      <c r="AJ40" s="397">
        <v>1134</v>
      </c>
      <c r="AK40" s="397">
        <v>1163</v>
      </c>
      <c r="AL40" s="397">
        <v>1079</v>
      </c>
      <c r="AM40" s="397">
        <v>1544</v>
      </c>
      <c r="AN40" s="397">
        <v>719</v>
      </c>
      <c r="AO40" s="397">
        <v>540</v>
      </c>
      <c r="AP40" s="397">
        <v>453</v>
      </c>
      <c r="AQ40" s="272">
        <v>384</v>
      </c>
    </row>
    <row r="41" spans="1:43" ht="12" customHeight="1">
      <c r="A41" s="608" t="s">
        <v>229</v>
      </c>
      <c r="B41" s="608"/>
      <c r="D41" s="504">
        <v>2011</v>
      </c>
      <c r="F41" s="503">
        <v>1979</v>
      </c>
      <c r="H41" s="503">
        <v>2033</v>
      </c>
      <c r="I41" s="504">
        <v>2071</v>
      </c>
      <c r="J41" s="504">
        <v>2012</v>
      </c>
      <c r="K41" s="504">
        <v>1860</v>
      </c>
      <c r="M41" s="503">
        <v>2061</v>
      </c>
      <c r="N41" s="504">
        <v>2071</v>
      </c>
      <c r="O41" s="504">
        <v>2063</v>
      </c>
      <c r="P41" s="504">
        <v>2063</v>
      </c>
      <c r="R41" s="503">
        <v>2234</v>
      </c>
      <c r="S41" s="504">
        <v>2328</v>
      </c>
      <c r="T41" s="504">
        <v>2318</v>
      </c>
      <c r="U41" s="504">
        <v>2447</v>
      </c>
      <c r="W41" s="503">
        <v>2534</v>
      </c>
      <c r="X41" s="397">
        <v>2649</v>
      </c>
      <c r="Y41" s="397">
        <v>2573</v>
      </c>
      <c r="Z41" s="397">
        <v>2613</v>
      </c>
      <c r="AB41" s="503">
        <v>2772</v>
      </c>
      <c r="AC41" s="397">
        <v>2874</v>
      </c>
      <c r="AD41" s="397">
        <v>2986</v>
      </c>
      <c r="AE41" s="504">
        <v>3016</v>
      </c>
      <c r="AG41" s="397">
        <v>3048</v>
      </c>
      <c r="AH41" s="397">
        <v>2942</v>
      </c>
      <c r="AI41" s="397">
        <v>2884</v>
      </c>
      <c r="AJ41" s="397">
        <v>2306</v>
      </c>
      <c r="AK41" s="397">
        <v>2353</v>
      </c>
      <c r="AL41" s="397">
        <v>2292</v>
      </c>
      <c r="AM41" s="397">
        <v>2553</v>
      </c>
      <c r="AN41" s="397">
        <v>2621</v>
      </c>
      <c r="AO41" s="397">
        <v>2692</v>
      </c>
      <c r="AP41" s="397">
        <v>2778</v>
      </c>
      <c r="AQ41" s="272">
        <v>2896</v>
      </c>
    </row>
    <row r="42" spans="1:43" ht="12" customHeight="1">
      <c r="A42" s="608" t="s">
        <v>230</v>
      </c>
      <c r="B42" s="608"/>
      <c r="D42" s="504">
        <v>1466</v>
      </c>
      <c r="F42" s="503">
        <v>1466</v>
      </c>
      <c r="H42" s="503">
        <v>1585</v>
      </c>
      <c r="I42" s="504">
        <v>1583</v>
      </c>
      <c r="J42" s="504">
        <v>1554</v>
      </c>
      <c r="K42" s="504">
        <v>1487</v>
      </c>
      <c r="M42" s="503">
        <v>1502</v>
      </c>
      <c r="N42" s="504">
        <v>1474</v>
      </c>
      <c r="O42" s="504">
        <v>1403</v>
      </c>
      <c r="P42" s="504">
        <v>1351</v>
      </c>
      <c r="R42" s="503">
        <v>1328</v>
      </c>
      <c r="S42" s="504">
        <v>1418</v>
      </c>
      <c r="T42" s="504">
        <v>1357</v>
      </c>
      <c r="U42" s="504">
        <v>1564</v>
      </c>
      <c r="W42" s="503">
        <v>1593</v>
      </c>
      <c r="X42" s="397">
        <v>1712</v>
      </c>
      <c r="Y42" s="397">
        <v>1944</v>
      </c>
      <c r="Z42" s="397">
        <v>1774</v>
      </c>
      <c r="AB42" s="503">
        <v>1855</v>
      </c>
      <c r="AC42" s="397">
        <v>1870</v>
      </c>
      <c r="AD42" s="397">
        <v>1862</v>
      </c>
      <c r="AE42" s="504">
        <v>1849</v>
      </c>
      <c r="AG42" s="397">
        <v>1838</v>
      </c>
      <c r="AH42" s="397">
        <v>1566</v>
      </c>
      <c r="AI42" s="397">
        <v>1601</v>
      </c>
      <c r="AJ42" s="397">
        <v>1242</v>
      </c>
      <c r="AK42" s="397">
        <v>884</v>
      </c>
      <c r="AL42" s="397">
        <v>1508</v>
      </c>
      <c r="AM42" s="397">
        <v>1539</v>
      </c>
      <c r="AN42" s="397">
        <v>1859</v>
      </c>
      <c r="AO42" s="397">
        <v>1751</v>
      </c>
      <c r="AP42" s="397">
        <v>1705</v>
      </c>
      <c r="AQ42" s="272">
        <v>1672</v>
      </c>
    </row>
    <row r="43" spans="1:43" ht="12" customHeight="1">
      <c r="A43" s="608" t="s">
        <v>231</v>
      </c>
      <c r="B43" s="608"/>
      <c r="D43" s="504">
        <v>1676</v>
      </c>
      <c r="F43" s="503">
        <v>714</v>
      </c>
      <c r="H43" s="503">
        <v>689</v>
      </c>
      <c r="I43" s="504">
        <v>692</v>
      </c>
      <c r="J43" s="504">
        <v>679</v>
      </c>
      <c r="K43" s="504">
        <v>563</v>
      </c>
      <c r="M43" s="503">
        <v>516</v>
      </c>
      <c r="N43" s="504">
        <v>540</v>
      </c>
      <c r="O43" s="504">
        <v>568</v>
      </c>
      <c r="P43" s="504">
        <v>347</v>
      </c>
      <c r="R43" s="503">
        <v>431</v>
      </c>
      <c r="S43" s="504">
        <v>495</v>
      </c>
      <c r="T43" s="504">
        <v>447</v>
      </c>
      <c r="U43" s="504">
        <v>498</v>
      </c>
      <c r="W43" s="503">
        <v>587</v>
      </c>
      <c r="X43" s="397">
        <v>404</v>
      </c>
      <c r="Y43" s="397">
        <v>422</v>
      </c>
      <c r="Z43" s="397">
        <v>445</v>
      </c>
      <c r="AB43" s="503">
        <v>397</v>
      </c>
      <c r="AC43" s="397">
        <v>428</v>
      </c>
      <c r="AD43" s="397">
        <v>544</v>
      </c>
      <c r="AE43" s="504">
        <v>442</v>
      </c>
      <c r="AG43" s="397">
        <v>381</v>
      </c>
      <c r="AH43" s="397">
        <v>374</v>
      </c>
      <c r="AI43" s="397">
        <v>595</v>
      </c>
      <c r="AJ43" s="397">
        <v>643</v>
      </c>
      <c r="AK43" s="397">
        <v>577</v>
      </c>
      <c r="AL43" s="397">
        <v>978</v>
      </c>
      <c r="AM43" s="397">
        <v>911</v>
      </c>
      <c r="AN43" s="397">
        <v>1151</v>
      </c>
      <c r="AO43" s="397">
        <v>1081</v>
      </c>
      <c r="AP43" s="397">
        <v>1175</v>
      </c>
      <c r="AQ43" s="272">
        <v>1281</v>
      </c>
    </row>
    <row r="44" spans="1:43" ht="12" customHeight="1">
      <c r="A44" s="608" t="s">
        <v>232</v>
      </c>
      <c r="B44" s="608"/>
      <c r="D44" s="504">
        <v>1019</v>
      </c>
      <c r="F44" s="503">
        <v>965</v>
      </c>
      <c r="H44" s="503">
        <v>919</v>
      </c>
      <c r="I44" s="504">
        <v>953</v>
      </c>
      <c r="J44" s="504">
        <v>910</v>
      </c>
      <c r="K44" s="504">
        <v>960</v>
      </c>
      <c r="M44" s="503">
        <v>906</v>
      </c>
      <c r="N44" s="504">
        <v>787</v>
      </c>
      <c r="O44" s="504">
        <v>761</v>
      </c>
      <c r="P44" s="504">
        <v>718</v>
      </c>
      <c r="R44" s="503">
        <v>617</v>
      </c>
      <c r="S44" s="504">
        <v>605</v>
      </c>
      <c r="T44" s="504">
        <v>610</v>
      </c>
      <c r="U44" s="504">
        <v>598</v>
      </c>
      <c r="W44" s="503">
        <v>603</v>
      </c>
      <c r="X44" s="397">
        <v>598</v>
      </c>
      <c r="Y44" s="397">
        <v>623</v>
      </c>
      <c r="Z44" s="397">
        <v>631</v>
      </c>
      <c r="AB44" s="503">
        <v>641</v>
      </c>
      <c r="AC44" s="397">
        <v>627</v>
      </c>
      <c r="AD44" s="397">
        <v>611</v>
      </c>
      <c r="AE44" s="504">
        <v>551</v>
      </c>
      <c r="AG44" s="397">
        <v>558</v>
      </c>
      <c r="AH44" s="397">
        <v>605</v>
      </c>
      <c r="AI44" s="397">
        <v>635</v>
      </c>
      <c r="AJ44" s="397">
        <v>617</v>
      </c>
      <c r="AK44" s="397">
        <v>632</v>
      </c>
      <c r="AL44" s="397">
        <v>629</v>
      </c>
      <c r="AM44" s="397">
        <v>704</v>
      </c>
      <c r="AN44" s="397">
        <v>543</v>
      </c>
      <c r="AO44" s="397">
        <v>506</v>
      </c>
      <c r="AP44" s="397">
        <v>476</v>
      </c>
      <c r="AQ44" s="272">
        <v>468</v>
      </c>
    </row>
    <row r="45" spans="1:43" ht="12" customHeight="1">
      <c r="A45" s="665" t="s">
        <v>233</v>
      </c>
      <c r="B45" s="665"/>
      <c r="D45" s="504">
        <v>9292</v>
      </c>
      <c r="F45" s="503">
        <f>+F39+F40+F43+F41+F44+F42</f>
        <v>10153</v>
      </c>
      <c r="H45" s="503">
        <f>+H39+H40+H43+H41+H44+H42</f>
        <v>9792</v>
      </c>
      <c r="I45" s="504">
        <f>+I39+I40+I43+I41+I44+I42</f>
        <v>11326</v>
      </c>
      <c r="J45" s="504">
        <f>+J39+J40+J43+J41+J44+J42</f>
        <v>11749</v>
      </c>
      <c r="K45" s="504">
        <f>+K39+K40+K43+K41+K44+K42</f>
        <v>11665</v>
      </c>
      <c r="M45" s="503">
        <f aca="true" t="shared" si="1" ref="M45:T45">+M39+M40+M43+M41+M44+M42</f>
        <v>10725</v>
      </c>
      <c r="N45" s="504">
        <f t="shared" si="1"/>
        <v>10483</v>
      </c>
      <c r="O45" s="504">
        <f t="shared" si="1"/>
        <v>10754</v>
      </c>
      <c r="P45" s="504">
        <f t="shared" si="1"/>
        <v>10878</v>
      </c>
      <c r="R45" s="503">
        <f t="shared" si="1"/>
        <v>10774</v>
      </c>
      <c r="S45" s="504">
        <f t="shared" si="1"/>
        <v>12522</v>
      </c>
      <c r="T45" s="504">
        <f t="shared" si="1"/>
        <v>12049</v>
      </c>
      <c r="U45" s="504">
        <f>U39+U40+U41+U42+U43+U44</f>
        <v>12147</v>
      </c>
      <c r="W45" s="503">
        <f>W39+W40+W41+W42+W43+W44</f>
        <v>12355</v>
      </c>
      <c r="X45" s="397">
        <f>X39+X40+X41+X42+X43+X44</f>
        <v>13400</v>
      </c>
      <c r="Y45" s="397">
        <f>Y39+Y40+Y41+Y42+Y43+Y44</f>
        <v>13752</v>
      </c>
      <c r="Z45" s="397">
        <v>13171</v>
      </c>
      <c r="AB45" s="503">
        <v>15471</v>
      </c>
      <c r="AC45" s="397">
        <v>14070</v>
      </c>
      <c r="AD45" s="397">
        <v>13921</v>
      </c>
      <c r="AE45" s="504">
        <v>13792</v>
      </c>
      <c r="AG45" s="397">
        <v>13184</v>
      </c>
      <c r="AH45" s="397">
        <v>12148</v>
      </c>
      <c r="AI45" s="397">
        <v>12244</v>
      </c>
      <c r="AJ45" s="397">
        <v>11351</v>
      </c>
      <c r="AK45" s="397">
        <v>10418</v>
      </c>
      <c r="AL45" s="397">
        <v>11272</v>
      </c>
      <c r="AM45" s="397">
        <v>12800</v>
      </c>
      <c r="AN45" s="397">
        <v>12113</v>
      </c>
      <c r="AO45" s="397">
        <v>12469</v>
      </c>
      <c r="AP45" s="397">
        <v>11633</v>
      </c>
      <c r="AQ45" s="272">
        <v>12064</v>
      </c>
    </row>
    <row r="46" spans="1:43" ht="25.5" customHeight="1">
      <c r="A46" s="582"/>
      <c r="B46" s="582" t="s">
        <v>234</v>
      </c>
      <c r="D46" s="504">
        <v>1813</v>
      </c>
      <c r="F46" s="503">
        <v>2145</v>
      </c>
      <c r="H46" s="503">
        <v>3006</v>
      </c>
      <c r="I46" s="504">
        <v>2295</v>
      </c>
      <c r="J46" s="504">
        <v>1460</v>
      </c>
      <c r="K46" s="504">
        <v>1559</v>
      </c>
      <c r="M46" s="503">
        <v>2087</v>
      </c>
      <c r="N46" s="504">
        <v>1641</v>
      </c>
      <c r="O46" s="504">
        <v>1435</v>
      </c>
      <c r="P46" s="504">
        <v>965</v>
      </c>
      <c r="R46" s="503">
        <v>1673</v>
      </c>
      <c r="S46" s="504">
        <v>1151</v>
      </c>
      <c r="T46" s="504">
        <v>1087</v>
      </c>
      <c r="U46" s="504">
        <v>1071</v>
      </c>
      <c r="W46" s="503">
        <v>1795</v>
      </c>
      <c r="X46" s="397">
        <v>1050</v>
      </c>
      <c r="Y46" s="397">
        <v>1346</v>
      </c>
      <c r="Z46" s="397">
        <v>348</v>
      </c>
      <c r="AB46" s="503">
        <v>404</v>
      </c>
      <c r="AC46" s="397">
        <v>1201</v>
      </c>
      <c r="AD46" s="397">
        <v>404</v>
      </c>
      <c r="AE46" s="504">
        <v>407</v>
      </c>
      <c r="AG46" s="397">
        <v>441</v>
      </c>
      <c r="AH46" s="397">
        <v>428</v>
      </c>
      <c r="AI46" s="397">
        <v>462</v>
      </c>
      <c r="AJ46" s="397">
        <v>455</v>
      </c>
      <c r="AK46" s="397">
        <v>1145</v>
      </c>
      <c r="AL46" s="397">
        <v>1250</v>
      </c>
      <c r="AM46" s="397">
        <v>1369</v>
      </c>
      <c r="AN46" s="397">
        <v>1223</v>
      </c>
      <c r="AO46" s="397">
        <v>618</v>
      </c>
      <c r="AP46" s="397">
        <v>966</v>
      </c>
      <c r="AQ46" s="272">
        <v>1041</v>
      </c>
    </row>
    <row r="47" spans="1:43" ht="12" customHeight="1">
      <c r="A47" s="547" t="s">
        <v>204</v>
      </c>
      <c r="B47" s="582"/>
      <c r="D47" s="504">
        <v>37</v>
      </c>
      <c r="F47" s="503">
        <v>48</v>
      </c>
      <c r="G47" s="558"/>
      <c r="H47" s="503">
        <v>34</v>
      </c>
      <c r="I47" s="504">
        <v>86</v>
      </c>
      <c r="J47" s="504">
        <v>59</v>
      </c>
      <c r="K47" s="504">
        <v>215</v>
      </c>
      <c r="L47" s="558"/>
      <c r="M47" s="503">
        <v>73</v>
      </c>
      <c r="N47" s="504">
        <v>35</v>
      </c>
      <c r="O47" s="504">
        <v>51</v>
      </c>
      <c r="P47" s="504">
        <v>110</v>
      </c>
      <c r="Q47" s="558"/>
      <c r="R47" s="503">
        <v>75</v>
      </c>
      <c r="S47" s="504">
        <v>51</v>
      </c>
      <c r="T47" s="504">
        <v>45</v>
      </c>
      <c r="U47" s="504">
        <v>43</v>
      </c>
      <c r="W47" s="503">
        <v>55</v>
      </c>
      <c r="X47" s="397">
        <v>47</v>
      </c>
      <c r="Y47" s="397">
        <v>66</v>
      </c>
      <c r="Z47" s="397">
        <v>91</v>
      </c>
      <c r="AB47" s="503">
        <v>341</v>
      </c>
      <c r="AC47" s="397">
        <v>205</v>
      </c>
      <c r="AD47" s="397">
        <v>252</v>
      </c>
      <c r="AE47" s="504">
        <v>688</v>
      </c>
      <c r="AG47" s="397">
        <v>1265</v>
      </c>
      <c r="AH47" s="397">
        <v>1163</v>
      </c>
      <c r="AI47" s="397">
        <v>787</v>
      </c>
      <c r="AJ47" s="397">
        <v>889</v>
      </c>
      <c r="AK47" s="397">
        <v>1149</v>
      </c>
      <c r="AL47" s="397">
        <v>371</v>
      </c>
      <c r="AM47" s="397">
        <v>521</v>
      </c>
      <c r="AN47" s="397">
        <v>434</v>
      </c>
      <c r="AO47" s="397">
        <v>343</v>
      </c>
      <c r="AP47" s="397">
        <v>429</v>
      </c>
      <c r="AQ47" s="272">
        <v>296</v>
      </c>
    </row>
    <row r="48" spans="1:43" ht="12" customHeight="1">
      <c r="A48" s="547" t="s">
        <v>235</v>
      </c>
      <c r="B48" s="582"/>
      <c r="D48" s="504">
        <v>1209</v>
      </c>
      <c r="F48" s="503">
        <v>1418</v>
      </c>
      <c r="H48" s="503">
        <v>1265</v>
      </c>
      <c r="I48" s="504">
        <v>1199</v>
      </c>
      <c r="J48" s="504">
        <v>1234</v>
      </c>
      <c r="K48" s="504">
        <v>1433</v>
      </c>
      <c r="M48" s="503">
        <v>1354</v>
      </c>
      <c r="N48" s="504">
        <v>1613</v>
      </c>
      <c r="O48" s="504">
        <v>1587</v>
      </c>
      <c r="P48" s="504">
        <v>1823</v>
      </c>
      <c r="R48" s="503">
        <v>1476</v>
      </c>
      <c r="S48" s="504">
        <v>1394</v>
      </c>
      <c r="T48" s="504">
        <v>1657</v>
      </c>
      <c r="U48" s="504">
        <v>2053</v>
      </c>
      <c r="W48" s="503">
        <v>1917</v>
      </c>
      <c r="X48" s="397">
        <v>1882</v>
      </c>
      <c r="Y48" s="397">
        <v>1656</v>
      </c>
      <c r="Z48" s="397">
        <v>2766</v>
      </c>
      <c r="AB48" s="503">
        <v>2879</v>
      </c>
      <c r="AC48" s="397">
        <v>2856</v>
      </c>
      <c r="AD48" s="397">
        <v>3146</v>
      </c>
      <c r="AE48" s="504">
        <v>3593</v>
      </c>
      <c r="AG48" s="397">
        <v>3379</v>
      </c>
      <c r="AH48" s="397">
        <v>3023</v>
      </c>
      <c r="AI48" s="397">
        <v>2414</v>
      </c>
      <c r="AJ48" s="397">
        <v>2974</v>
      </c>
      <c r="AK48" s="397">
        <v>2858</v>
      </c>
      <c r="AL48" s="397">
        <v>3138</v>
      </c>
      <c r="AM48" s="397">
        <v>3081</v>
      </c>
      <c r="AN48" s="397">
        <v>3094</v>
      </c>
      <c r="AO48" s="397">
        <v>2819</v>
      </c>
      <c r="AP48" s="397">
        <v>3881</v>
      </c>
      <c r="AQ48" s="272">
        <v>5033</v>
      </c>
    </row>
    <row r="49" spans="1:43" ht="12" customHeight="1">
      <c r="A49" s="547" t="s">
        <v>229</v>
      </c>
      <c r="B49" s="582"/>
      <c r="D49" s="504">
        <v>765</v>
      </c>
      <c r="F49" s="503">
        <v>760</v>
      </c>
      <c r="H49" s="503">
        <v>817</v>
      </c>
      <c r="I49" s="504">
        <v>952</v>
      </c>
      <c r="J49" s="504">
        <v>761</v>
      </c>
      <c r="K49" s="504">
        <v>787</v>
      </c>
      <c r="M49" s="503">
        <v>917</v>
      </c>
      <c r="N49" s="504">
        <v>754</v>
      </c>
      <c r="O49" s="504">
        <v>865</v>
      </c>
      <c r="P49" s="504">
        <v>842</v>
      </c>
      <c r="R49" s="503">
        <v>1110</v>
      </c>
      <c r="S49" s="504">
        <v>820</v>
      </c>
      <c r="T49" s="504">
        <v>932</v>
      </c>
      <c r="U49" s="504">
        <v>808</v>
      </c>
      <c r="W49" s="503">
        <v>891</v>
      </c>
      <c r="X49" s="397">
        <v>1036</v>
      </c>
      <c r="Y49" s="397">
        <v>1124</v>
      </c>
      <c r="Z49" s="397">
        <v>1150</v>
      </c>
      <c r="AB49" s="503">
        <v>1211</v>
      </c>
      <c r="AC49" s="397">
        <v>1178</v>
      </c>
      <c r="AD49" s="397">
        <v>1189</v>
      </c>
      <c r="AE49" s="504">
        <v>1313</v>
      </c>
      <c r="AG49" s="397">
        <v>1384</v>
      </c>
      <c r="AH49" s="397">
        <v>1397</v>
      </c>
      <c r="AI49" s="397">
        <v>1303</v>
      </c>
      <c r="AJ49" s="397">
        <v>1437</v>
      </c>
      <c r="AK49" s="397">
        <v>1536</v>
      </c>
      <c r="AL49" s="397">
        <v>1681</v>
      </c>
      <c r="AM49" s="397">
        <v>1512</v>
      </c>
      <c r="AN49" s="397">
        <v>1699</v>
      </c>
      <c r="AO49" s="397">
        <v>1819</v>
      </c>
      <c r="AP49" s="397">
        <v>2067</v>
      </c>
      <c r="AQ49" s="272">
        <v>1669</v>
      </c>
    </row>
    <row r="50" spans="1:43" ht="12" customHeight="1">
      <c r="A50" s="547" t="s">
        <v>236</v>
      </c>
      <c r="B50" s="582"/>
      <c r="D50" s="504">
        <v>751</v>
      </c>
      <c r="F50" s="503">
        <v>762</v>
      </c>
      <c r="H50" s="503">
        <v>626</v>
      </c>
      <c r="I50" s="504">
        <v>837</v>
      </c>
      <c r="J50" s="504">
        <v>719</v>
      </c>
      <c r="K50" s="504">
        <v>786</v>
      </c>
      <c r="M50" s="503">
        <v>595</v>
      </c>
      <c r="N50" s="504">
        <v>605</v>
      </c>
      <c r="O50" s="504">
        <v>457</v>
      </c>
      <c r="P50" s="504">
        <v>630</v>
      </c>
      <c r="R50" s="503">
        <v>623</v>
      </c>
      <c r="S50" s="504">
        <v>738</v>
      </c>
      <c r="T50" s="504">
        <v>505</v>
      </c>
      <c r="U50" s="504">
        <v>585</v>
      </c>
      <c r="W50" s="503">
        <v>678</v>
      </c>
      <c r="X50" s="397">
        <v>453</v>
      </c>
      <c r="Y50" s="397">
        <v>530</v>
      </c>
      <c r="Z50" s="397">
        <v>433</v>
      </c>
      <c r="AB50" s="503">
        <v>422</v>
      </c>
      <c r="AC50" s="397">
        <v>411</v>
      </c>
      <c r="AD50" s="397">
        <v>545</v>
      </c>
      <c r="AE50" s="504">
        <v>537</v>
      </c>
      <c r="AG50" s="397">
        <v>1086</v>
      </c>
      <c r="AH50" s="397">
        <v>1135</v>
      </c>
      <c r="AI50" s="397">
        <v>1285</v>
      </c>
      <c r="AJ50" s="397">
        <v>1453</v>
      </c>
      <c r="AK50" s="397">
        <f>1906-2</f>
        <v>1904</v>
      </c>
      <c r="AL50" s="397">
        <v>1212</v>
      </c>
      <c r="AM50" s="397">
        <v>1287</v>
      </c>
      <c r="AN50" s="397">
        <v>1233</v>
      </c>
      <c r="AO50" s="397">
        <v>1366</v>
      </c>
      <c r="AP50" s="397">
        <v>707</v>
      </c>
      <c r="AQ50" s="272">
        <v>649</v>
      </c>
    </row>
    <row r="51" spans="1:43" ht="12" customHeight="1">
      <c r="A51" s="547" t="s">
        <v>232</v>
      </c>
      <c r="B51" s="582"/>
      <c r="D51" s="504">
        <v>977</v>
      </c>
      <c r="F51" s="503">
        <v>1064</v>
      </c>
      <c r="H51" s="503">
        <v>1019</v>
      </c>
      <c r="I51" s="504">
        <v>1240</v>
      </c>
      <c r="J51" s="504">
        <v>1165</v>
      </c>
      <c r="K51" s="504">
        <v>1086</v>
      </c>
      <c r="M51" s="503">
        <v>1107</v>
      </c>
      <c r="N51" s="504">
        <v>1271</v>
      </c>
      <c r="O51" s="504">
        <v>1307</v>
      </c>
      <c r="P51" s="504">
        <v>1089</v>
      </c>
      <c r="R51" s="503">
        <v>972</v>
      </c>
      <c r="S51" s="504">
        <f>1038+283</f>
        <v>1321</v>
      </c>
      <c r="T51" s="504">
        <f>1042+287</f>
        <v>1329</v>
      </c>
      <c r="U51" s="504">
        <f>271+1034</f>
        <v>1305</v>
      </c>
      <c r="W51" s="503">
        <f>1121+265</f>
        <v>1386</v>
      </c>
      <c r="X51" s="397">
        <f>162+1051</f>
        <v>1213</v>
      </c>
      <c r="Y51" s="397">
        <f>1167+148</f>
        <v>1315</v>
      </c>
      <c r="Z51" s="397">
        <f>1026+222</f>
        <v>1248</v>
      </c>
      <c r="AB51" s="503">
        <f>203+1202</f>
        <v>1405</v>
      </c>
      <c r="AC51" s="397">
        <f>193+1066</f>
        <v>1259</v>
      </c>
      <c r="AD51" s="397">
        <v>1226</v>
      </c>
      <c r="AE51" s="504">
        <v>1364</v>
      </c>
      <c r="AG51" s="397">
        <v>1582</v>
      </c>
      <c r="AH51" s="397">
        <f>179+1304</f>
        <v>1483</v>
      </c>
      <c r="AI51" s="397">
        <v>1634</v>
      </c>
      <c r="AJ51" s="397">
        <f>1661+207</f>
        <v>1868</v>
      </c>
      <c r="AK51" s="397">
        <v>1984</v>
      </c>
      <c r="AL51" s="397">
        <v>2538</v>
      </c>
      <c r="AM51" s="397">
        <f>251+1754</f>
        <v>2005</v>
      </c>
      <c r="AN51" s="397">
        <f>1329+173</f>
        <v>1502</v>
      </c>
      <c r="AO51" s="397">
        <v>1729</v>
      </c>
      <c r="AP51" s="397">
        <f>1555+172</f>
        <v>1727</v>
      </c>
      <c r="AQ51" s="272">
        <v>1637</v>
      </c>
    </row>
    <row r="52" spans="1:43" ht="12" customHeight="1">
      <c r="A52" s="547" t="s">
        <v>237</v>
      </c>
      <c r="B52" s="609"/>
      <c r="D52" s="504">
        <v>0</v>
      </c>
      <c r="F52" s="503">
        <v>0</v>
      </c>
      <c r="H52" s="503">
        <v>0</v>
      </c>
      <c r="I52" s="504">
        <v>0</v>
      </c>
      <c r="J52" s="504">
        <v>0</v>
      </c>
      <c r="K52" s="504">
        <v>0</v>
      </c>
      <c r="M52" s="503">
        <v>0</v>
      </c>
      <c r="N52" s="504">
        <v>0</v>
      </c>
      <c r="O52" s="504">
        <v>0</v>
      </c>
      <c r="P52" s="504">
        <v>0</v>
      </c>
      <c r="R52" s="503">
        <v>0</v>
      </c>
      <c r="S52" s="504">
        <v>0</v>
      </c>
      <c r="T52" s="504">
        <v>0</v>
      </c>
      <c r="U52" s="504">
        <v>0</v>
      </c>
      <c r="W52" s="503">
        <v>0</v>
      </c>
      <c r="X52" s="397">
        <v>0</v>
      </c>
      <c r="Y52" s="397">
        <v>0</v>
      </c>
      <c r="Z52" s="397">
        <v>0</v>
      </c>
      <c r="AB52" s="503">
        <v>0</v>
      </c>
      <c r="AC52" s="397">
        <v>0</v>
      </c>
      <c r="AD52" s="397">
        <v>4</v>
      </c>
      <c r="AE52" s="504">
        <v>5</v>
      </c>
      <c r="AG52" s="397">
        <v>0</v>
      </c>
      <c r="AH52" s="397">
        <v>411</v>
      </c>
      <c r="AI52" s="397">
        <v>424</v>
      </c>
      <c r="AJ52" s="397">
        <v>462</v>
      </c>
      <c r="AK52" s="397">
        <v>386</v>
      </c>
      <c r="AL52" s="397">
        <v>0</v>
      </c>
      <c r="AM52" s="397">
        <v>0</v>
      </c>
      <c r="AN52" s="397">
        <v>0</v>
      </c>
      <c r="AO52" s="397">
        <v>0</v>
      </c>
      <c r="AP52" s="397">
        <v>0</v>
      </c>
      <c r="AQ52" s="272">
        <v>0</v>
      </c>
    </row>
    <row r="53" spans="1:43" ht="12" customHeight="1">
      <c r="A53" s="665" t="s">
        <v>238</v>
      </c>
      <c r="B53" s="665"/>
      <c r="D53" s="504">
        <v>5552</v>
      </c>
      <c r="F53" s="503">
        <f>F46+F47+F48+F49+F50+F51</f>
        <v>6197</v>
      </c>
      <c r="H53" s="503">
        <f>H46+H47+H48+H49+H50+H51</f>
        <v>6767</v>
      </c>
      <c r="I53" s="504">
        <f>I46+I47+I48+I49+I50+I51</f>
        <v>6609</v>
      </c>
      <c r="J53" s="504">
        <f>J46+J47+J48+J49+J50+J51</f>
        <v>5398</v>
      </c>
      <c r="K53" s="504">
        <f>K46+K47+K48+K49+K50+K51</f>
        <v>5866</v>
      </c>
      <c r="M53" s="503">
        <f aca="true" t="shared" si="2" ref="M53:T53">M46+M47+M48+M49+M50+M51</f>
        <v>6133</v>
      </c>
      <c r="N53" s="504">
        <f t="shared" si="2"/>
        <v>5919</v>
      </c>
      <c r="O53" s="504">
        <f t="shared" si="2"/>
        <v>5702</v>
      </c>
      <c r="P53" s="504">
        <f t="shared" si="2"/>
        <v>5459</v>
      </c>
      <c r="R53" s="503">
        <f t="shared" si="2"/>
        <v>5929</v>
      </c>
      <c r="S53" s="504">
        <f t="shared" si="2"/>
        <v>5475</v>
      </c>
      <c r="T53" s="504">
        <f t="shared" si="2"/>
        <v>5555</v>
      </c>
      <c r="U53" s="504">
        <f>U46+U47+U48+U49+U50+U51</f>
        <v>5865</v>
      </c>
      <c r="W53" s="503">
        <f>W46+W47+W48+W49+W50+W51</f>
        <v>6722</v>
      </c>
      <c r="X53" s="397">
        <f>X46+X47+X48+X49+X50+X51</f>
        <v>5681</v>
      </c>
      <c r="Y53" s="397">
        <f>Y46+Y47+Y48+Y49+Y50+Y51</f>
        <v>6037</v>
      </c>
      <c r="Z53" s="397">
        <v>6036</v>
      </c>
      <c r="AB53" s="503">
        <v>6662</v>
      </c>
      <c r="AC53" s="397">
        <v>7110</v>
      </c>
      <c r="AD53" s="397">
        <v>6766</v>
      </c>
      <c r="AE53" s="504">
        <v>7907</v>
      </c>
      <c r="AG53" s="397">
        <v>9137</v>
      </c>
      <c r="AH53" s="397">
        <v>9040</v>
      </c>
      <c r="AI53" s="397">
        <v>8309</v>
      </c>
      <c r="AJ53" s="397">
        <v>9538</v>
      </c>
      <c r="AK53" s="397">
        <v>10962</v>
      </c>
      <c r="AL53" s="397">
        <v>10190</v>
      </c>
      <c r="AM53" s="397">
        <v>9775</v>
      </c>
      <c r="AN53" s="397">
        <v>9185</v>
      </c>
      <c r="AO53" s="397">
        <v>8694</v>
      </c>
      <c r="AP53" s="397">
        <v>9777</v>
      </c>
      <c r="AQ53" s="272">
        <v>10325</v>
      </c>
    </row>
    <row r="54" spans="1:43" ht="12" customHeight="1">
      <c r="A54" s="668" t="s">
        <v>239</v>
      </c>
      <c r="B54" s="668"/>
      <c r="C54" s="493"/>
      <c r="D54" s="497">
        <v>14844</v>
      </c>
      <c r="F54" s="496">
        <f>F53+F45</f>
        <v>16350</v>
      </c>
      <c r="H54" s="496">
        <f>H53+H45</f>
        <v>16559</v>
      </c>
      <c r="I54" s="497">
        <f>I53+I45</f>
        <v>17935</v>
      </c>
      <c r="J54" s="497">
        <f>J53+J45</f>
        <v>17147</v>
      </c>
      <c r="K54" s="497">
        <f>K53+K45</f>
        <v>17531</v>
      </c>
      <c r="M54" s="496">
        <f aca="true" t="shared" si="3" ref="M54:T54">M53+M45</f>
        <v>16858</v>
      </c>
      <c r="N54" s="497">
        <f t="shared" si="3"/>
        <v>16402</v>
      </c>
      <c r="O54" s="497">
        <f t="shared" si="3"/>
        <v>16456</v>
      </c>
      <c r="P54" s="497">
        <f t="shared" si="3"/>
        <v>16337</v>
      </c>
      <c r="R54" s="496">
        <f t="shared" si="3"/>
        <v>16703</v>
      </c>
      <c r="S54" s="497">
        <f t="shared" si="3"/>
        <v>17997</v>
      </c>
      <c r="T54" s="497">
        <f t="shared" si="3"/>
        <v>17604</v>
      </c>
      <c r="U54" s="497">
        <f>U53+U45</f>
        <v>18012</v>
      </c>
      <c r="W54" s="496">
        <f>W53+W45</f>
        <v>19077</v>
      </c>
      <c r="X54" s="356">
        <f>X53+X45</f>
        <v>19081</v>
      </c>
      <c r="Y54" s="356">
        <f>Y53+Y45</f>
        <v>19789</v>
      </c>
      <c r="Z54" s="356">
        <v>19207</v>
      </c>
      <c r="AB54" s="496">
        <v>22133</v>
      </c>
      <c r="AC54" s="356">
        <v>21180</v>
      </c>
      <c r="AD54" s="356">
        <v>20687</v>
      </c>
      <c r="AE54" s="497">
        <v>21699</v>
      </c>
      <c r="AG54" s="356">
        <v>22321</v>
      </c>
      <c r="AH54" s="356">
        <v>21188</v>
      </c>
      <c r="AI54" s="356">
        <v>20553</v>
      </c>
      <c r="AJ54" s="356">
        <v>20889</v>
      </c>
      <c r="AK54" s="356">
        <v>21380</v>
      </c>
      <c r="AL54" s="356">
        <v>21462</v>
      </c>
      <c r="AM54" s="356">
        <v>22575</v>
      </c>
      <c r="AN54" s="356">
        <v>21298</v>
      </c>
      <c r="AO54" s="356">
        <v>21163</v>
      </c>
      <c r="AP54" s="356">
        <v>21410</v>
      </c>
      <c r="AQ54" s="273">
        <v>22389</v>
      </c>
    </row>
    <row r="55" spans="1:43" ht="12" customHeight="1">
      <c r="A55" s="668" t="s">
        <v>240</v>
      </c>
      <c r="B55" s="668"/>
      <c r="C55" s="493"/>
      <c r="D55" s="497">
        <v>40374</v>
      </c>
      <c r="F55" s="496">
        <f>F54+F38</f>
        <v>36764</v>
      </c>
      <c r="H55" s="496">
        <f>H54+H38</f>
        <v>37098</v>
      </c>
      <c r="I55" s="497">
        <f>I54+I38</f>
        <v>38411</v>
      </c>
      <c r="J55" s="497">
        <f>J54+J38</f>
        <v>37891</v>
      </c>
      <c r="K55" s="497">
        <f>K54+K38</f>
        <v>33442</v>
      </c>
      <c r="M55" s="496">
        <f aca="true" t="shared" si="4" ref="M55:T55">M54+M38</f>
        <v>33629</v>
      </c>
      <c r="N55" s="497">
        <f t="shared" si="4"/>
        <v>33501</v>
      </c>
      <c r="O55" s="497">
        <f t="shared" si="4"/>
        <v>34306</v>
      </c>
      <c r="P55" s="497">
        <f t="shared" si="4"/>
        <v>34122</v>
      </c>
      <c r="R55" s="496">
        <f t="shared" si="4"/>
        <v>34904</v>
      </c>
      <c r="S55" s="497">
        <f t="shared" si="4"/>
        <v>36071</v>
      </c>
      <c r="T55" s="497">
        <f t="shared" si="4"/>
        <v>36221</v>
      </c>
      <c r="U55" s="497">
        <f>U54+U38</f>
        <v>37237</v>
      </c>
      <c r="W55" s="496">
        <f>W54+W38</f>
        <v>38518</v>
      </c>
      <c r="X55" s="356">
        <f>X54+X38</f>
        <v>39045</v>
      </c>
      <c r="Y55" s="356">
        <f>Y54+Y38</f>
        <v>40099</v>
      </c>
      <c r="Z55" s="356">
        <v>39409</v>
      </c>
      <c r="AB55" s="496">
        <v>42596</v>
      </c>
      <c r="AC55" s="356">
        <v>41584</v>
      </c>
      <c r="AD55" s="356">
        <v>41716</v>
      </c>
      <c r="AE55" s="497">
        <v>42780</v>
      </c>
      <c r="AG55" s="356">
        <v>43812</v>
      </c>
      <c r="AH55" s="356">
        <v>45055</v>
      </c>
      <c r="AI55" s="356">
        <v>46146</v>
      </c>
      <c r="AJ55" s="356">
        <v>48027</v>
      </c>
      <c r="AK55" s="356">
        <v>50041</v>
      </c>
      <c r="AL55" s="356">
        <v>53106</v>
      </c>
      <c r="AM55" s="356">
        <v>54839</v>
      </c>
      <c r="AN55" s="356">
        <v>53444</v>
      </c>
      <c r="AO55" s="356">
        <v>53335</v>
      </c>
      <c r="AP55" s="356">
        <v>54201</v>
      </c>
      <c r="AQ55" s="273">
        <v>55497</v>
      </c>
    </row>
    <row r="56" spans="4:11" ht="12" customHeight="1">
      <c r="D56" s="559"/>
      <c r="F56" s="559"/>
      <c r="H56" s="559"/>
      <c r="I56" s="559"/>
      <c r="J56" s="559"/>
      <c r="K56" s="559"/>
    </row>
  </sheetData>
  <sheetProtection/>
  <mergeCells count="26">
    <mergeCell ref="A53:B53"/>
    <mergeCell ref="A54:B54"/>
    <mergeCell ref="A55:B55"/>
    <mergeCell ref="A28:B28"/>
    <mergeCell ref="A29:B29"/>
    <mergeCell ref="A31:B31"/>
    <mergeCell ref="A36:B36"/>
    <mergeCell ref="A37:B37"/>
    <mergeCell ref="A38:B38"/>
    <mergeCell ref="A21:B21"/>
    <mergeCell ref="A22:B22"/>
    <mergeCell ref="A23:B23"/>
    <mergeCell ref="A25:B25"/>
    <mergeCell ref="A26:B26"/>
    <mergeCell ref="A45:B45"/>
    <mergeCell ref="A27:B27"/>
    <mergeCell ref="A24:B24"/>
    <mergeCell ref="A1:B1"/>
    <mergeCell ref="A20:B20"/>
    <mergeCell ref="A2:B2"/>
    <mergeCell ref="A6:B6"/>
    <mergeCell ref="A9:B9"/>
    <mergeCell ref="A12:B12"/>
    <mergeCell ref="A16:B16"/>
    <mergeCell ref="A19:B19"/>
    <mergeCell ref="A3:B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6" r:id="rId1"/>
</worksheet>
</file>

<file path=xl/worksheets/sheet8.xml><?xml version="1.0" encoding="utf-8"?>
<worksheet xmlns="http://schemas.openxmlformats.org/spreadsheetml/2006/main" xmlns:r="http://schemas.openxmlformats.org/officeDocument/2006/relationships">
  <sheetPr>
    <pageSetUpPr fitToPage="1"/>
  </sheetPr>
  <dimension ref="A1:BE61"/>
  <sheetViews>
    <sheetView showGridLines="0" zoomScale="148" zoomScaleNormal="148" zoomScaleSheetLayoutView="100" zoomScalePageLayoutView="0" workbookViewId="0" topLeftCell="A1">
      <pane xSplit="1" topLeftCell="AX1" activePane="topRight" state="frozen"/>
      <selection pane="topLeft" activeCell="A1" sqref="A1"/>
      <selection pane="topRight" activeCell="BG50" sqref="BG50"/>
    </sheetView>
  </sheetViews>
  <sheetFormatPr defaultColWidth="8.57421875" defaultRowHeight="12.75"/>
  <cols>
    <col min="1" max="1" width="58.00390625" style="30" customWidth="1"/>
    <col min="2" max="2" width="1.57421875" style="30" hidden="1" customWidth="1"/>
    <col min="3" max="6" width="7.00390625" style="20" customWidth="1"/>
    <col min="7" max="7" width="8.57421875" style="20" customWidth="1"/>
    <col min="8" max="8" width="1.57421875" style="20" customWidth="1"/>
    <col min="9" max="12" width="8.140625" style="20" customWidth="1"/>
    <col min="13" max="13" width="8.140625" style="30" customWidth="1"/>
    <col min="14" max="14" width="1.1484375" style="30" customWidth="1"/>
    <col min="15" max="18" width="6.8515625" style="30" customWidth="1"/>
    <col min="19" max="19" width="8.421875" style="30" customWidth="1"/>
    <col min="20" max="20" width="0.9921875" style="30" customWidth="1"/>
    <col min="21" max="25" width="7.57421875" style="30" customWidth="1"/>
    <col min="26" max="26" width="0.13671875" style="30" customWidth="1"/>
    <col min="27" max="27" width="7.28125" style="30" customWidth="1"/>
    <col min="28" max="28" width="7.57421875" style="30" customWidth="1"/>
    <col min="29" max="29" width="6.8515625" style="30" customWidth="1"/>
    <col min="30" max="30" width="7.140625" style="30" customWidth="1"/>
    <col min="31" max="31" width="8.421875" style="30" customWidth="1"/>
    <col min="32" max="32" width="0.5625" style="30" customWidth="1"/>
    <col min="33" max="33" width="7.57421875" style="30" customWidth="1"/>
    <col min="34" max="36" width="7.421875" style="30" customWidth="1"/>
    <col min="37" max="37" width="7.8515625" style="166" customWidth="1"/>
    <col min="38" max="38" width="0.5625" style="30" customWidth="1"/>
    <col min="39" max="39" width="6.8515625" style="166" customWidth="1"/>
    <col min="40" max="40" width="6.8515625" style="182" customWidth="1"/>
    <col min="41" max="41" width="7.57421875" style="30" customWidth="1"/>
    <col min="42" max="42" width="8.8515625" style="30" customWidth="1"/>
    <col min="43" max="43" width="7.421875" style="30" customWidth="1"/>
    <col min="44" max="44" width="1.1484375" style="30" customWidth="1"/>
    <col min="45" max="45" width="8.140625" style="30" customWidth="1"/>
    <col min="46" max="49" width="8.140625" style="173" customWidth="1"/>
    <col min="50" max="56" width="8.140625" style="379" customWidth="1"/>
    <col min="57" max="57" width="8.140625" style="30" customWidth="1"/>
    <col min="58" max="16384" width="8.57421875" style="30" customWidth="1"/>
  </cols>
  <sheetData>
    <row r="1" spans="1:57" ht="36" customHeight="1">
      <c r="A1" s="610" t="s">
        <v>241</v>
      </c>
      <c r="B1" s="10"/>
      <c r="BE1"/>
    </row>
    <row r="2" spans="1:57" s="35" customFormat="1" ht="18" customHeight="1">
      <c r="A2" s="468"/>
      <c r="C2" s="9"/>
      <c r="D2" s="9"/>
      <c r="E2" s="9"/>
      <c r="F2" s="9"/>
      <c r="G2" s="9"/>
      <c r="H2" s="9"/>
      <c r="I2" s="9"/>
      <c r="J2" s="9"/>
      <c r="K2" s="9"/>
      <c r="L2" s="9"/>
      <c r="AK2" s="167"/>
      <c r="AM2" s="167"/>
      <c r="AN2" s="183"/>
      <c r="AT2" s="294"/>
      <c r="AU2" s="294"/>
      <c r="AV2" s="294"/>
      <c r="AW2" s="294"/>
      <c r="AX2" s="393"/>
      <c r="AY2" s="393"/>
      <c r="AZ2" s="393"/>
      <c r="BA2" s="393"/>
      <c r="BB2" s="393"/>
      <c r="BC2" s="393"/>
      <c r="BD2" s="393"/>
      <c r="BE2" s="378"/>
    </row>
    <row r="3" spans="1:57" s="98" customFormat="1" ht="12" customHeight="1">
      <c r="A3" s="465" t="s">
        <v>68</v>
      </c>
      <c r="B3" s="11"/>
      <c r="C3" s="95" t="s">
        <v>0</v>
      </c>
      <c r="D3" s="95" t="s">
        <v>1</v>
      </c>
      <c r="E3" s="95" t="s">
        <v>2</v>
      </c>
      <c r="F3" s="95" t="s">
        <v>3</v>
      </c>
      <c r="G3" s="95">
        <v>2014</v>
      </c>
      <c r="H3" s="96"/>
      <c r="I3" s="95" t="s">
        <v>4</v>
      </c>
      <c r="J3" s="95" t="s">
        <v>5</v>
      </c>
      <c r="K3" s="95" t="s">
        <v>6</v>
      </c>
      <c r="L3" s="95" t="s">
        <v>7</v>
      </c>
      <c r="M3" s="95">
        <v>2015</v>
      </c>
      <c r="N3" s="97"/>
      <c r="O3" s="95" t="s">
        <v>8</v>
      </c>
      <c r="P3" s="95" t="s">
        <v>9</v>
      </c>
      <c r="Q3" s="95" t="s">
        <v>10</v>
      </c>
      <c r="R3" s="95" t="s">
        <v>11</v>
      </c>
      <c r="S3" s="95">
        <v>2016</v>
      </c>
      <c r="T3" s="31"/>
      <c r="U3" s="95" t="s">
        <v>16</v>
      </c>
      <c r="V3" s="95" t="s">
        <v>17</v>
      </c>
      <c r="W3" s="95" t="s">
        <v>20</v>
      </c>
      <c r="X3" s="95" t="s">
        <v>21</v>
      </c>
      <c r="Y3" s="95">
        <v>2017</v>
      </c>
      <c r="Z3" s="97"/>
      <c r="AA3" s="95" t="s">
        <v>27</v>
      </c>
      <c r="AB3" s="95" t="s">
        <v>29</v>
      </c>
      <c r="AC3" s="95" t="s">
        <v>32</v>
      </c>
      <c r="AD3" s="95" t="s">
        <v>35</v>
      </c>
      <c r="AE3" s="95">
        <v>2018</v>
      </c>
      <c r="AF3" s="31"/>
      <c r="AG3" s="95" t="s">
        <v>39</v>
      </c>
      <c r="AH3" s="95" t="s">
        <v>40</v>
      </c>
      <c r="AI3" s="95" t="s">
        <v>44</v>
      </c>
      <c r="AJ3" s="95" t="s">
        <v>45</v>
      </c>
      <c r="AK3" s="168">
        <v>2019</v>
      </c>
      <c r="AL3" s="31"/>
      <c r="AM3" s="168" t="s">
        <v>46</v>
      </c>
      <c r="AN3" s="184" t="s">
        <v>47</v>
      </c>
      <c r="AO3" s="184" t="s">
        <v>48</v>
      </c>
      <c r="AP3" s="184" t="s">
        <v>49</v>
      </c>
      <c r="AQ3" s="184">
        <v>2020</v>
      </c>
      <c r="AR3" s="274"/>
      <c r="AS3" s="184" t="s">
        <v>51</v>
      </c>
      <c r="AT3" s="184" t="s">
        <v>54</v>
      </c>
      <c r="AU3" s="184" t="s">
        <v>55</v>
      </c>
      <c r="AV3" s="184" t="s">
        <v>56</v>
      </c>
      <c r="AW3" s="184">
        <v>2021</v>
      </c>
      <c r="AX3" s="380" t="s">
        <v>57</v>
      </c>
      <c r="AY3" s="380" t="s">
        <v>58</v>
      </c>
      <c r="AZ3" s="380" t="s">
        <v>59</v>
      </c>
      <c r="BA3" s="380" t="s">
        <v>60</v>
      </c>
      <c r="BB3" s="380">
        <v>2022</v>
      </c>
      <c r="BC3" s="380" t="s">
        <v>62</v>
      </c>
      <c r="BD3" s="380" t="s">
        <v>63</v>
      </c>
      <c r="BE3" s="380" t="s">
        <v>64</v>
      </c>
    </row>
    <row r="4" spans="1:57" s="98" customFormat="1" ht="12" customHeight="1">
      <c r="A4" s="106" t="s">
        <v>69</v>
      </c>
      <c r="B4" s="99"/>
      <c r="C4" s="100">
        <v>7041</v>
      </c>
      <c r="D4" s="101">
        <v>6787</v>
      </c>
      <c r="E4" s="101">
        <v>6994</v>
      </c>
      <c r="F4" s="101">
        <v>6624</v>
      </c>
      <c r="G4" s="101">
        <v>6862</v>
      </c>
      <c r="H4" s="102"/>
      <c r="I4" s="100">
        <v>5818</v>
      </c>
      <c r="J4" s="101">
        <v>6043</v>
      </c>
      <c r="K4" s="101">
        <v>5259</v>
      </c>
      <c r="L4" s="101">
        <v>4892</v>
      </c>
      <c r="M4" s="101">
        <v>5495</v>
      </c>
      <c r="N4" s="102"/>
      <c r="O4" s="100">
        <v>4672</v>
      </c>
      <c r="P4" s="101">
        <v>4729</v>
      </c>
      <c r="Q4" s="101">
        <v>4772</v>
      </c>
      <c r="R4" s="101">
        <v>5277</v>
      </c>
      <c r="S4" s="103">
        <v>4863</v>
      </c>
      <c r="T4" s="37"/>
      <c r="U4" s="100">
        <v>5831</v>
      </c>
      <c r="V4" s="101">
        <v>5662</v>
      </c>
      <c r="W4" s="101">
        <v>6348.7109375</v>
      </c>
      <c r="X4" s="101">
        <v>6808</v>
      </c>
      <c r="Y4" s="103">
        <v>6166</v>
      </c>
      <c r="Z4" s="104"/>
      <c r="AA4" s="105">
        <v>6960.53</v>
      </c>
      <c r="AB4" s="103">
        <v>6872.23</v>
      </c>
      <c r="AC4" s="103">
        <v>6105</v>
      </c>
      <c r="AD4" s="103">
        <v>6171.9</v>
      </c>
      <c r="AE4" s="103">
        <v>6523.04</v>
      </c>
      <c r="AG4" s="105">
        <v>6214.92</v>
      </c>
      <c r="AH4" s="152">
        <v>6113</v>
      </c>
      <c r="AI4" s="152">
        <v>5802</v>
      </c>
      <c r="AJ4" s="120">
        <v>5881</v>
      </c>
      <c r="AK4" s="152">
        <v>6000</v>
      </c>
      <c r="AM4" s="105">
        <v>5637</v>
      </c>
      <c r="AN4" s="146">
        <v>5356</v>
      </c>
      <c r="AO4" s="146">
        <v>6519</v>
      </c>
      <c r="AP4" s="265">
        <v>7166</v>
      </c>
      <c r="AQ4" s="265">
        <v>6181</v>
      </c>
      <c r="AR4" s="275"/>
      <c r="AS4" s="283">
        <v>8504</v>
      </c>
      <c r="AT4" s="283">
        <v>9700</v>
      </c>
      <c r="AU4" s="283">
        <v>9372</v>
      </c>
      <c r="AV4" s="283">
        <v>9699.15</v>
      </c>
      <c r="AW4" s="283">
        <v>9317.49</v>
      </c>
      <c r="AX4" s="383">
        <v>9997</v>
      </c>
      <c r="AY4" s="383">
        <v>9512.683333333332</v>
      </c>
      <c r="AZ4" s="425">
        <v>7745.084615384615</v>
      </c>
      <c r="BA4" s="425">
        <v>8001</v>
      </c>
      <c r="BB4" s="425">
        <v>8797</v>
      </c>
      <c r="BC4" s="425">
        <v>8927</v>
      </c>
      <c r="BD4" s="425">
        <v>8464</v>
      </c>
      <c r="BE4" s="431">
        <v>8355.8984375</v>
      </c>
    </row>
    <row r="5" spans="1:57" s="98" customFormat="1" ht="12" customHeight="1">
      <c r="A5" s="106" t="s">
        <v>70</v>
      </c>
      <c r="B5" s="99"/>
      <c r="C5" s="107">
        <v>20.48</v>
      </c>
      <c r="D5" s="108">
        <v>19.62</v>
      </c>
      <c r="E5" s="108">
        <v>19.76</v>
      </c>
      <c r="F5" s="108">
        <v>16.5</v>
      </c>
      <c r="G5" s="108">
        <v>19.08</v>
      </c>
      <c r="H5" s="109"/>
      <c r="I5" s="107">
        <v>16.71</v>
      </c>
      <c r="J5" s="108">
        <v>16.39</v>
      </c>
      <c r="K5" s="108">
        <v>14.91</v>
      </c>
      <c r="L5" s="108">
        <v>14.77</v>
      </c>
      <c r="M5" s="108">
        <v>15.68</v>
      </c>
      <c r="N5" s="109"/>
      <c r="O5" s="107">
        <v>14.85</v>
      </c>
      <c r="P5" s="108">
        <v>16.78</v>
      </c>
      <c r="Q5" s="108">
        <v>19.61</v>
      </c>
      <c r="R5" s="108">
        <v>17.19</v>
      </c>
      <c r="S5" s="27">
        <v>17.14</v>
      </c>
      <c r="T5" s="37"/>
      <c r="U5" s="107">
        <v>17.42</v>
      </c>
      <c r="V5" s="108">
        <v>17.21</v>
      </c>
      <c r="W5" s="108">
        <v>16.835</v>
      </c>
      <c r="X5" s="108">
        <v>16.73</v>
      </c>
      <c r="Y5" s="27">
        <v>17.05</v>
      </c>
      <c r="Z5" s="28"/>
      <c r="AA5" s="110">
        <v>16.77</v>
      </c>
      <c r="AB5" s="27">
        <v>16.5322</v>
      </c>
      <c r="AC5" s="27">
        <v>15.02</v>
      </c>
      <c r="AD5" s="27">
        <v>14.54</v>
      </c>
      <c r="AE5" s="27">
        <v>15.7054</v>
      </c>
      <c r="AG5" s="110">
        <v>15.57</v>
      </c>
      <c r="AH5" s="147">
        <v>14.88</v>
      </c>
      <c r="AI5" s="147">
        <v>16.98</v>
      </c>
      <c r="AJ5" s="147">
        <v>17.32</v>
      </c>
      <c r="AK5" s="170">
        <v>16.21</v>
      </c>
      <c r="AM5" s="110">
        <v>16.9</v>
      </c>
      <c r="AN5" s="147">
        <v>16.38</v>
      </c>
      <c r="AO5" s="147">
        <v>24.26</v>
      </c>
      <c r="AP5" s="27">
        <v>24.39</v>
      </c>
      <c r="AQ5" s="27">
        <v>20.54</v>
      </c>
      <c r="AR5" s="28"/>
      <c r="AS5" s="284">
        <v>26.26</v>
      </c>
      <c r="AT5" s="284">
        <v>26.69</v>
      </c>
      <c r="AU5" s="284">
        <v>24.36</v>
      </c>
      <c r="AV5" s="284">
        <v>23.333984375</v>
      </c>
      <c r="AW5" s="284">
        <v>25.135592885375495</v>
      </c>
      <c r="AX5" s="384">
        <v>24.01</v>
      </c>
      <c r="AY5" s="384">
        <v>22.60100001999999</v>
      </c>
      <c r="AZ5" s="384">
        <v>19.22890625</v>
      </c>
      <c r="BA5" s="384">
        <v>21.17</v>
      </c>
      <c r="BB5" s="384">
        <v>21.73</v>
      </c>
      <c r="BC5" s="384">
        <v>22.55</v>
      </c>
      <c r="BD5" s="384">
        <v>24.13</v>
      </c>
      <c r="BE5" s="414">
        <v>23.570625</v>
      </c>
    </row>
    <row r="6" spans="1:57" s="98" customFormat="1" ht="12" customHeight="1">
      <c r="A6" s="106" t="s">
        <v>71</v>
      </c>
      <c r="B6" s="99"/>
      <c r="C6" s="107">
        <v>3.06</v>
      </c>
      <c r="D6" s="108">
        <v>3.04</v>
      </c>
      <c r="E6" s="108">
        <v>3.15</v>
      </c>
      <c r="F6" s="108">
        <v>3.37</v>
      </c>
      <c r="G6" s="111">
        <v>3.15</v>
      </c>
      <c r="H6" s="109"/>
      <c r="I6" s="107">
        <v>3.73</v>
      </c>
      <c r="J6" s="108">
        <v>3.7</v>
      </c>
      <c r="K6" s="108">
        <v>3.77</v>
      </c>
      <c r="L6" s="108">
        <v>3.89</v>
      </c>
      <c r="M6" s="108">
        <v>3.77</v>
      </c>
      <c r="N6" s="109"/>
      <c r="O6" s="107">
        <v>3.96</v>
      </c>
      <c r="P6" s="108">
        <v>3.87</v>
      </c>
      <c r="Q6" s="108">
        <v>3.89</v>
      </c>
      <c r="R6" s="108">
        <v>4.06</v>
      </c>
      <c r="S6" s="27">
        <v>3.94</v>
      </c>
      <c r="T6" s="37"/>
      <c r="U6" s="107">
        <v>4.0584828125</v>
      </c>
      <c r="V6" s="108">
        <v>3.8306918032786883</v>
      </c>
      <c r="W6" s="108">
        <v>3.6250546875000005</v>
      </c>
      <c r="X6" s="108">
        <v>3.6</v>
      </c>
      <c r="Y6" s="27">
        <v>3.78</v>
      </c>
      <c r="Z6" s="28"/>
      <c r="AA6" s="110">
        <v>3.4009</v>
      </c>
      <c r="AB6" s="27">
        <v>3.5778</v>
      </c>
      <c r="AC6" s="27">
        <v>3.7</v>
      </c>
      <c r="AD6" s="27">
        <v>3.7671</v>
      </c>
      <c r="AE6" s="27">
        <v>3.6117</v>
      </c>
      <c r="AG6" s="110">
        <v>3.7883</v>
      </c>
      <c r="AH6" s="147">
        <v>3.81</v>
      </c>
      <c r="AI6" s="147">
        <v>3.88</v>
      </c>
      <c r="AJ6" s="147">
        <v>3.87</v>
      </c>
      <c r="AK6" s="170">
        <v>3.84</v>
      </c>
      <c r="AM6" s="110">
        <v>3.92</v>
      </c>
      <c r="AN6" s="147">
        <v>4.09</v>
      </c>
      <c r="AO6" s="147">
        <v>3.8</v>
      </c>
      <c r="AP6" s="27">
        <v>3.78</v>
      </c>
      <c r="AQ6" s="27">
        <v>3.9</v>
      </c>
      <c r="AR6" s="28"/>
      <c r="AS6" s="284">
        <v>3.78</v>
      </c>
      <c r="AT6" s="284">
        <v>3.76</v>
      </c>
      <c r="AU6" s="284">
        <v>3.87</v>
      </c>
      <c r="AV6" s="284">
        <v>4.042067187499999</v>
      </c>
      <c r="AW6" s="284">
        <v>3.86466771653543</v>
      </c>
      <c r="AX6" s="384">
        <v>4.126</v>
      </c>
      <c r="AY6" s="384">
        <v>4.3596661290322585</v>
      </c>
      <c r="AZ6" s="384">
        <v>4.71394923076923</v>
      </c>
      <c r="BA6" s="384">
        <v>4.64</v>
      </c>
      <c r="BB6" s="384">
        <v>4.46</v>
      </c>
      <c r="BC6" s="384">
        <v>4.39</v>
      </c>
      <c r="BD6" s="384">
        <v>4.17</v>
      </c>
      <c r="BE6" s="414">
        <v>4.1359953125</v>
      </c>
    </row>
    <row r="7" spans="1:57" s="98" customFormat="1" ht="12" customHeight="1">
      <c r="A7" s="106" t="s">
        <v>72</v>
      </c>
      <c r="B7" s="99"/>
      <c r="C7" s="107">
        <v>3.0344</v>
      </c>
      <c r="D7" s="108">
        <v>3.0473</v>
      </c>
      <c r="E7" s="108">
        <v>3.2973</v>
      </c>
      <c r="F7" s="108">
        <v>3.5072</v>
      </c>
      <c r="G7" s="108">
        <f>+F7</f>
        <v>3.5072</v>
      </c>
      <c r="H7" s="109"/>
      <c r="I7" s="107">
        <v>3.8125</v>
      </c>
      <c r="J7" s="108">
        <v>3.7645</v>
      </c>
      <c r="K7" s="108">
        <v>3.7754</v>
      </c>
      <c r="L7" s="108">
        <v>3.9011</v>
      </c>
      <c r="M7" s="108">
        <f>+L7</f>
        <v>3.9011</v>
      </c>
      <c r="N7" s="109"/>
      <c r="O7" s="107">
        <v>3.759</v>
      </c>
      <c r="P7" s="108">
        <v>3.9803</v>
      </c>
      <c r="Q7" s="108">
        <v>3.8558</v>
      </c>
      <c r="R7" s="108">
        <v>4.1793</v>
      </c>
      <c r="S7" s="27">
        <f>+R7</f>
        <v>4.1793</v>
      </c>
      <c r="T7" s="37"/>
      <c r="U7" s="107">
        <v>3.95</v>
      </c>
      <c r="V7" s="108">
        <v>3.71</v>
      </c>
      <c r="W7" s="108">
        <v>3.65</v>
      </c>
      <c r="X7" s="108">
        <v>3.48</v>
      </c>
      <c r="Y7" s="27">
        <v>3.48</v>
      </c>
      <c r="Z7" s="28"/>
      <c r="AA7" s="110">
        <v>3.4139</v>
      </c>
      <c r="AB7" s="27">
        <v>3.744</v>
      </c>
      <c r="AC7" s="27">
        <v>3.68</v>
      </c>
      <c r="AD7" s="27">
        <v>3.7597</v>
      </c>
      <c r="AE7" s="27">
        <v>3.7597</v>
      </c>
      <c r="AG7" s="110">
        <v>3.8365</v>
      </c>
      <c r="AH7" s="147">
        <v>3.73</v>
      </c>
      <c r="AI7" s="147">
        <v>4</v>
      </c>
      <c r="AJ7" s="147">
        <v>3.8</v>
      </c>
      <c r="AK7" s="170">
        <v>3.8</v>
      </c>
      <c r="AM7" s="110">
        <v>4.15</v>
      </c>
      <c r="AN7" s="147">
        <v>3.98</v>
      </c>
      <c r="AO7" s="147">
        <v>3.87</v>
      </c>
      <c r="AP7" s="27">
        <v>3.76</v>
      </c>
      <c r="AQ7" s="27">
        <v>3.76</v>
      </c>
      <c r="AR7" s="28"/>
      <c r="AS7" s="284">
        <v>3.97</v>
      </c>
      <c r="AT7" s="284">
        <v>3.8</v>
      </c>
      <c r="AU7" s="284">
        <v>3.99</v>
      </c>
      <c r="AV7" s="284">
        <v>4.06</v>
      </c>
      <c r="AW7" s="284">
        <v>4.06</v>
      </c>
      <c r="AX7" s="384">
        <v>4.1801</v>
      </c>
      <c r="AY7" s="384">
        <v>4.4825</v>
      </c>
      <c r="AZ7" s="384">
        <v>4.9533</v>
      </c>
      <c r="BA7" s="384">
        <v>4.4</v>
      </c>
      <c r="BB7" s="384">
        <v>4.4</v>
      </c>
      <c r="BC7" s="384">
        <v>4.29</v>
      </c>
      <c r="BD7" s="384">
        <v>4.11</v>
      </c>
      <c r="BE7" s="414">
        <v>4.3697</v>
      </c>
    </row>
    <row r="8" spans="1:57" ht="12.75" customHeight="1">
      <c r="A8" s="483"/>
      <c r="B8" s="14"/>
      <c r="BE8"/>
    </row>
    <row r="9" spans="1:57" s="31" customFormat="1" ht="15" customHeight="1">
      <c r="A9" s="611" t="s">
        <v>73</v>
      </c>
      <c r="B9" s="112"/>
      <c r="C9" s="97" t="s">
        <v>0</v>
      </c>
      <c r="D9" s="97" t="s">
        <v>1</v>
      </c>
      <c r="E9" s="97" t="s">
        <v>2</v>
      </c>
      <c r="F9" s="97" t="s">
        <v>3</v>
      </c>
      <c r="G9" s="97">
        <v>2014</v>
      </c>
      <c r="H9" s="96"/>
      <c r="I9" s="97" t="s">
        <v>4</v>
      </c>
      <c r="J9" s="97" t="s">
        <v>5</v>
      </c>
      <c r="K9" s="97" t="s">
        <v>6</v>
      </c>
      <c r="L9" s="97" t="s">
        <v>7</v>
      </c>
      <c r="M9" s="97">
        <v>2015</v>
      </c>
      <c r="N9" s="97"/>
      <c r="O9" s="97" t="s">
        <v>8</v>
      </c>
      <c r="P9" s="97" t="s">
        <v>9</v>
      </c>
      <c r="Q9" s="97" t="s">
        <v>10</v>
      </c>
      <c r="R9" s="97" t="s">
        <v>11</v>
      </c>
      <c r="S9" s="97">
        <v>2016</v>
      </c>
      <c r="U9" s="97" t="s">
        <v>16</v>
      </c>
      <c r="V9" s="97" t="s">
        <v>17</v>
      </c>
      <c r="W9" s="97" t="s">
        <v>20</v>
      </c>
      <c r="X9" s="97" t="s">
        <v>21</v>
      </c>
      <c r="Y9" s="97">
        <v>2017</v>
      </c>
      <c r="Z9" s="97"/>
      <c r="AA9" s="271" t="s">
        <v>27</v>
      </c>
      <c r="AB9" s="271" t="s">
        <v>29</v>
      </c>
      <c r="AC9" s="271" t="s">
        <v>32</v>
      </c>
      <c r="AD9" s="271" t="s">
        <v>35</v>
      </c>
      <c r="AE9" s="271">
        <v>2018</v>
      </c>
      <c r="AG9" s="271" t="s">
        <v>39</v>
      </c>
      <c r="AH9" s="271" t="s">
        <v>40</v>
      </c>
      <c r="AI9" s="271" t="s">
        <v>44</v>
      </c>
      <c r="AJ9" s="271" t="s">
        <v>45</v>
      </c>
      <c r="AK9" s="269">
        <v>2019</v>
      </c>
      <c r="AM9" s="269" t="s">
        <v>46</v>
      </c>
      <c r="AN9" s="270" t="s">
        <v>47</v>
      </c>
      <c r="AO9" s="270" t="s">
        <v>48</v>
      </c>
      <c r="AP9" s="270" t="s">
        <v>49</v>
      </c>
      <c r="AQ9" s="270">
        <v>2020</v>
      </c>
      <c r="AR9" s="270"/>
      <c r="AS9" s="270" t="s">
        <v>51</v>
      </c>
      <c r="AT9" s="270" t="s">
        <v>54</v>
      </c>
      <c r="AU9" s="270" t="s">
        <v>55</v>
      </c>
      <c r="AV9" s="270" t="s">
        <v>56</v>
      </c>
      <c r="AW9" s="270">
        <v>2021</v>
      </c>
      <c r="AX9" s="270" t="s">
        <v>57</v>
      </c>
      <c r="AY9" s="270" t="s">
        <v>58</v>
      </c>
      <c r="AZ9" s="270" t="s">
        <v>59</v>
      </c>
      <c r="BA9" s="270" t="s">
        <v>60</v>
      </c>
      <c r="BB9" s="270">
        <v>2022</v>
      </c>
      <c r="BC9" s="270" t="s">
        <v>377</v>
      </c>
      <c r="BD9" s="270" t="s">
        <v>378</v>
      </c>
      <c r="BE9" s="380" t="s">
        <v>379</v>
      </c>
    </row>
    <row r="10" spans="1:57" s="17" customFormat="1" ht="12" customHeight="1">
      <c r="A10" s="494" t="s">
        <v>74</v>
      </c>
      <c r="B10" s="15"/>
      <c r="C10" s="59">
        <v>3800</v>
      </c>
      <c r="D10" s="58">
        <f>7727-C10</f>
        <v>3927</v>
      </c>
      <c r="E10" s="58">
        <v>4116</v>
      </c>
      <c r="F10" s="58">
        <f>G10-11843</f>
        <v>4790</v>
      </c>
      <c r="G10" s="58">
        <v>16633</v>
      </c>
      <c r="H10" s="15"/>
      <c r="I10" s="59">
        <v>3767</v>
      </c>
      <c r="J10" s="58">
        <v>4325</v>
      </c>
      <c r="K10" s="58">
        <v>3681</v>
      </c>
      <c r="L10" s="58">
        <v>4166</v>
      </c>
      <c r="M10" s="58">
        <v>15939</v>
      </c>
      <c r="N10" s="113"/>
      <c r="O10" s="59">
        <v>2979</v>
      </c>
      <c r="P10" s="58">
        <v>3561</v>
      </c>
      <c r="Q10" s="58">
        <v>3744</v>
      </c>
      <c r="R10" s="58">
        <v>4828</v>
      </c>
      <c r="S10" s="58">
        <v>15112</v>
      </c>
      <c r="U10" s="59">
        <v>3896</v>
      </c>
      <c r="V10" s="58">
        <v>3805</v>
      </c>
      <c r="W10" s="58">
        <v>3732</v>
      </c>
      <c r="X10" s="58">
        <v>4591</v>
      </c>
      <c r="Y10" s="58">
        <f>U10+V10+W10+X10</f>
        <v>16024</v>
      </c>
      <c r="Z10" s="53"/>
      <c r="AA10" s="59">
        <v>3206</v>
      </c>
      <c r="AB10" s="58">
        <v>3983</v>
      </c>
      <c r="AC10" s="58">
        <v>4128</v>
      </c>
      <c r="AD10" s="58">
        <v>4440</v>
      </c>
      <c r="AE10" s="58">
        <v>15757</v>
      </c>
      <c r="AG10" s="59">
        <v>4316</v>
      </c>
      <c r="AH10" s="153">
        <v>4515</v>
      </c>
      <c r="AI10" s="153">
        <f>13050-4316-4515</f>
        <v>4219</v>
      </c>
      <c r="AJ10" s="357">
        <v>4633</v>
      </c>
      <c r="AK10" s="58">
        <v>17683</v>
      </c>
      <c r="AL10" s="32"/>
      <c r="AM10" s="172">
        <v>4225</v>
      </c>
      <c r="AN10" s="172">
        <v>4672</v>
      </c>
      <c r="AO10" s="172">
        <v>4463</v>
      </c>
      <c r="AP10" s="266">
        <v>5966</v>
      </c>
      <c r="AQ10" s="266">
        <v>19326</v>
      </c>
      <c r="AR10" s="276"/>
      <c r="AS10" s="285">
        <v>5569</v>
      </c>
      <c r="AT10" s="285">
        <v>6575</v>
      </c>
      <c r="AU10" s="285">
        <v>5826</v>
      </c>
      <c r="AV10" s="285">
        <v>6648</v>
      </c>
      <c r="AW10" s="285">
        <v>24618</v>
      </c>
      <c r="AX10" s="385">
        <v>7555</v>
      </c>
      <c r="AY10" s="385">
        <v>7656</v>
      </c>
      <c r="AZ10" s="385">
        <v>6572</v>
      </c>
      <c r="BA10" s="385">
        <f>BB10-AZ10-AY10-AX10</f>
        <v>6646</v>
      </c>
      <c r="BB10" s="385">
        <v>28429</v>
      </c>
      <c r="BC10" s="385">
        <v>8370</v>
      </c>
      <c r="BD10" s="385">
        <v>7140</v>
      </c>
      <c r="BE10" s="415">
        <v>6960</v>
      </c>
    </row>
    <row r="11" spans="1:57" s="20" customFormat="1" ht="12" customHeight="1">
      <c r="A11" s="579" t="s">
        <v>242</v>
      </c>
      <c r="B11" s="18"/>
      <c r="C11" s="41">
        <v>3153</v>
      </c>
      <c r="D11" s="19">
        <v>3021</v>
      </c>
      <c r="E11" s="19">
        <v>3244</v>
      </c>
      <c r="F11" s="19">
        <v>3799</v>
      </c>
      <c r="G11" s="19">
        <v>13217</v>
      </c>
      <c r="H11" s="18"/>
      <c r="I11" s="41">
        <v>2994</v>
      </c>
      <c r="J11" s="19">
        <v>3474</v>
      </c>
      <c r="K11" s="19">
        <v>2869</v>
      </c>
      <c r="L11" s="19">
        <v>3161</v>
      </c>
      <c r="M11" s="19">
        <v>12498</v>
      </c>
      <c r="N11" s="114"/>
      <c r="O11" s="41">
        <v>2280</v>
      </c>
      <c r="P11" s="19">
        <v>2585</v>
      </c>
      <c r="Q11" s="19">
        <v>2517</v>
      </c>
      <c r="R11" s="19">
        <v>3108</v>
      </c>
      <c r="S11" s="19">
        <v>10490</v>
      </c>
      <c r="U11" s="41">
        <v>2916</v>
      </c>
      <c r="V11" s="19">
        <v>2804</v>
      </c>
      <c r="W11" s="19">
        <v>2882</v>
      </c>
      <c r="X11" s="19">
        <v>3611</v>
      </c>
      <c r="Y11" s="19">
        <v>12213</v>
      </c>
      <c r="Z11" s="54"/>
      <c r="AA11" s="41">
        <v>2525</v>
      </c>
      <c r="AB11" s="19">
        <v>3166</v>
      </c>
      <c r="AC11" s="19">
        <v>3149</v>
      </c>
      <c r="AD11" s="19">
        <v>3102</v>
      </c>
      <c r="AE11" s="19">
        <v>11942</v>
      </c>
      <c r="AG11" s="41">
        <v>3363</v>
      </c>
      <c r="AH11" s="120">
        <v>3472</v>
      </c>
      <c r="AI11" s="120">
        <f>10046-3363-3472</f>
        <v>3211</v>
      </c>
      <c r="AJ11" s="120">
        <v>3428</v>
      </c>
      <c r="AK11" s="19">
        <v>13474</v>
      </c>
      <c r="AL11" s="33"/>
      <c r="AM11" s="152">
        <v>3083</v>
      </c>
      <c r="AN11" s="152">
        <v>3460</v>
      </c>
      <c r="AO11" s="152">
        <v>3354</v>
      </c>
      <c r="AP11" s="103">
        <v>4361</v>
      </c>
      <c r="AQ11" s="103">
        <v>14258</v>
      </c>
      <c r="AR11" s="104"/>
      <c r="AS11" s="286">
        <v>4300</v>
      </c>
      <c r="AT11" s="286">
        <v>5108</v>
      </c>
      <c r="AU11" s="286">
        <v>4403</v>
      </c>
      <c r="AV11" s="286">
        <v>5268</v>
      </c>
      <c r="AW11" s="286">
        <v>19079</v>
      </c>
      <c r="AX11" s="386">
        <v>5824</v>
      </c>
      <c r="AY11" s="386">
        <v>6089</v>
      </c>
      <c r="AZ11" s="386">
        <v>5089</v>
      </c>
      <c r="BA11" s="386">
        <v>5206</v>
      </c>
      <c r="BB11" s="386">
        <v>22208</v>
      </c>
      <c r="BC11" s="386">
        <v>6447</v>
      </c>
      <c r="BD11" s="386">
        <v>5535</v>
      </c>
      <c r="BE11" s="416">
        <v>5226</v>
      </c>
    </row>
    <row r="12" spans="1:57" s="20" customFormat="1" ht="12" customHeight="1">
      <c r="A12" s="579" t="s">
        <v>243</v>
      </c>
      <c r="B12" s="18"/>
      <c r="C12" s="41">
        <v>455</v>
      </c>
      <c r="D12" s="19">
        <v>690</v>
      </c>
      <c r="E12" s="19">
        <v>610</v>
      </c>
      <c r="F12" s="19">
        <v>717</v>
      </c>
      <c r="G12" s="19">
        <v>2471</v>
      </c>
      <c r="H12" s="18"/>
      <c r="I12" s="41">
        <v>501</v>
      </c>
      <c r="J12" s="19">
        <v>628</v>
      </c>
      <c r="K12" s="19">
        <v>562</v>
      </c>
      <c r="L12" s="19">
        <v>703</v>
      </c>
      <c r="M12" s="19">
        <v>2394</v>
      </c>
      <c r="N12" s="114"/>
      <c r="O12" s="41">
        <v>410</v>
      </c>
      <c r="P12" s="19">
        <v>676</v>
      </c>
      <c r="Q12" s="19">
        <v>739</v>
      </c>
      <c r="R12" s="19">
        <v>771</v>
      </c>
      <c r="S12" s="19">
        <v>2596</v>
      </c>
      <c r="U12" s="41">
        <v>560</v>
      </c>
      <c r="V12" s="19">
        <v>660</v>
      </c>
      <c r="W12" s="19">
        <v>507</v>
      </c>
      <c r="X12" s="19">
        <v>714</v>
      </c>
      <c r="Y12" s="19">
        <v>2441</v>
      </c>
      <c r="Z12" s="54"/>
      <c r="AA12" s="41">
        <v>392</v>
      </c>
      <c r="AB12" s="19">
        <v>538</v>
      </c>
      <c r="AC12" s="19">
        <v>683</v>
      </c>
      <c r="AD12" s="19">
        <v>488</v>
      </c>
      <c r="AE12" s="19">
        <v>2101</v>
      </c>
      <c r="AG12" s="41">
        <v>620</v>
      </c>
      <c r="AH12" s="120">
        <v>693</v>
      </c>
      <c r="AI12" s="120">
        <f>2004-AG12-AH12</f>
        <v>691</v>
      </c>
      <c r="AJ12" s="120">
        <v>785</v>
      </c>
      <c r="AK12" s="19">
        <v>2789</v>
      </c>
      <c r="AL12" s="33"/>
      <c r="AM12" s="152">
        <v>748</v>
      </c>
      <c r="AN12" s="152">
        <v>776</v>
      </c>
      <c r="AO12" s="152">
        <v>802</v>
      </c>
      <c r="AP12" s="103">
        <v>1127</v>
      </c>
      <c r="AQ12" s="103">
        <v>3453</v>
      </c>
      <c r="AR12" s="104"/>
      <c r="AS12" s="286">
        <v>900</v>
      </c>
      <c r="AT12" s="286">
        <v>1096</v>
      </c>
      <c r="AU12" s="286">
        <v>1052</v>
      </c>
      <c r="AV12" s="286">
        <v>942</v>
      </c>
      <c r="AW12" s="286">
        <v>3990</v>
      </c>
      <c r="AX12" s="386">
        <v>1214</v>
      </c>
      <c r="AY12" s="386">
        <v>1118</v>
      </c>
      <c r="AZ12" s="386">
        <v>1029</v>
      </c>
      <c r="BA12" s="386">
        <v>980</v>
      </c>
      <c r="BB12" s="386">
        <v>4341</v>
      </c>
      <c r="BC12" s="386">
        <v>1221</v>
      </c>
      <c r="BD12" s="386">
        <v>1035</v>
      </c>
      <c r="BE12" s="416">
        <v>1154</v>
      </c>
    </row>
    <row r="13" spans="1:57" s="17" customFormat="1" ht="12" customHeight="1">
      <c r="A13" s="576" t="s">
        <v>75</v>
      </c>
      <c r="B13" s="15"/>
      <c r="C13" s="38">
        <v>-2822</v>
      </c>
      <c r="D13" s="16">
        <v>-2905</v>
      </c>
      <c r="E13" s="16">
        <v>-3014</v>
      </c>
      <c r="F13" s="16">
        <v>-3524</v>
      </c>
      <c r="G13" s="16">
        <v>-12265</v>
      </c>
      <c r="H13" s="15"/>
      <c r="I13" s="38">
        <v>-2732</v>
      </c>
      <c r="J13" s="16">
        <v>-3050</v>
      </c>
      <c r="K13" s="16">
        <v>-2820</v>
      </c>
      <c r="L13" s="16">
        <v>-3207</v>
      </c>
      <c r="M13" s="16">
        <v>-11809</v>
      </c>
      <c r="N13" s="113"/>
      <c r="O13" s="38">
        <v>-2355</v>
      </c>
      <c r="P13" s="16">
        <v>-2785</v>
      </c>
      <c r="Q13" s="16">
        <v>-2831</v>
      </c>
      <c r="R13" s="16">
        <v>-3659</v>
      </c>
      <c r="S13" s="16">
        <v>-11630</v>
      </c>
      <c r="U13" s="38">
        <v>-2655</v>
      </c>
      <c r="V13" s="16">
        <v>-2916</v>
      </c>
      <c r="W13" s="16">
        <v>-2794</v>
      </c>
      <c r="X13" s="16">
        <v>-3657</v>
      </c>
      <c r="Y13" s="16">
        <f aca="true" t="shared" si="0" ref="Y13:Y34">U13+V13+W13+X13</f>
        <v>-12022</v>
      </c>
      <c r="Z13" s="53"/>
      <c r="AA13" s="38">
        <v>-2504</v>
      </c>
      <c r="AB13" s="16">
        <v>-3101</v>
      </c>
      <c r="AC13" s="16">
        <v>-3290</v>
      </c>
      <c r="AD13" s="16">
        <v>-3642</v>
      </c>
      <c r="AE13" s="16">
        <v>-12537</v>
      </c>
      <c r="AG13" s="38">
        <v>-3397</v>
      </c>
      <c r="AH13" s="148">
        <v>-3659</v>
      </c>
      <c r="AI13" s="148">
        <f>-10371-AG13-AH13</f>
        <v>-3315</v>
      </c>
      <c r="AJ13" s="356">
        <v>-3925</v>
      </c>
      <c r="AK13" s="16">
        <v>-14296</v>
      </c>
      <c r="AL13" s="32"/>
      <c r="AM13" s="148">
        <v>-3408</v>
      </c>
      <c r="AN13" s="148">
        <v>-3713</v>
      </c>
      <c r="AO13" s="148">
        <v>-3396</v>
      </c>
      <c r="AP13" s="16">
        <v>-4634</v>
      </c>
      <c r="AQ13" s="16">
        <v>-15151</v>
      </c>
      <c r="AR13" s="53"/>
      <c r="AS13" s="282">
        <v>-3997</v>
      </c>
      <c r="AT13" s="282">
        <v>-5208</v>
      </c>
      <c r="AU13" s="282">
        <v>-4788</v>
      </c>
      <c r="AV13" s="372">
        <v>-5448</v>
      </c>
      <c r="AW13" s="372">
        <v>-19441</v>
      </c>
      <c r="AX13" s="382">
        <v>-5732</v>
      </c>
      <c r="AY13" s="382">
        <v>-6171</v>
      </c>
      <c r="AZ13" s="424">
        <v>-5626</v>
      </c>
      <c r="BA13" s="424">
        <f>BB13-AZ13-AY13-AX13</f>
        <v>-5628</v>
      </c>
      <c r="BB13" s="424">
        <v>-23157</v>
      </c>
      <c r="BC13" s="424">
        <v>-7108</v>
      </c>
      <c r="BD13" s="424">
        <v>-6305</v>
      </c>
      <c r="BE13" s="427">
        <v>-6182</v>
      </c>
    </row>
    <row r="14" spans="1:57" s="20" customFormat="1" ht="12" customHeight="1">
      <c r="A14" s="577" t="s">
        <v>76</v>
      </c>
      <c r="B14" s="72"/>
      <c r="C14" s="38">
        <f>C10+C13</f>
        <v>978</v>
      </c>
      <c r="D14" s="16">
        <f>D10+D13</f>
        <v>1022</v>
      </c>
      <c r="E14" s="16">
        <f>E10+E13</f>
        <v>1102</v>
      </c>
      <c r="F14" s="16">
        <f>F10+F13</f>
        <v>1266</v>
      </c>
      <c r="G14" s="16">
        <f>G10+G13</f>
        <v>4368</v>
      </c>
      <c r="H14" s="72"/>
      <c r="I14" s="38">
        <f>I10+I13</f>
        <v>1035</v>
      </c>
      <c r="J14" s="16">
        <f>J10+J13</f>
        <v>1275</v>
      </c>
      <c r="K14" s="16">
        <f>K10+K13</f>
        <v>861</v>
      </c>
      <c r="L14" s="16">
        <f>L10+L13</f>
        <v>959</v>
      </c>
      <c r="M14" s="16">
        <f>M10+M13</f>
        <v>4130</v>
      </c>
      <c r="N14" s="113"/>
      <c r="O14" s="38">
        <f>O10+O13</f>
        <v>624</v>
      </c>
      <c r="P14" s="16">
        <f>P10+P13</f>
        <v>776</v>
      </c>
      <c r="Q14" s="16">
        <f>Q10+Q13</f>
        <v>913</v>
      </c>
      <c r="R14" s="16">
        <f>R10+R13</f>
        <v>1169</v>
      </c>
      <c r="S14" s="16">
        <f>S10+S13</f>
        <v>3482</v>
      </c>
      <c r="U14" s="38">
        <f>U10+U13</f>
        <v>1241</v>
      </c>
      <c r="V14" s="16">
        <f>V10+V13</f>
        <v>889</v>
      </c>
      <c r="W14" s="16">
        <f>W10+W13</f>
        <v>938</v>
      </c>
      <c r="X14" s="16">
        <v>934</v>
      </c>
      <c r="Y14" s="16">
        <f t="shared" si="0"/>
        <v>4002</v>
      </c>
      <c r="Z14" s="53"/>
      <c r="AA14" s="38">
        <f>AA10+AA13</f>
        <v>702</v>
      </c>
      <c r="AB14" s="16">
        <f>AB10+AB13</f>
        <v>882</v>
      </c>
      <c r="AC14" s="16">
        <f>AC10+AC13</f>
        <v>838</v>
      </c>
      <c r="AD14" s="16">
        <f>AD10+AD13</f>
        <v>798</v>
      </c>
      <c r="AE14" s="16">
        <f>AE10+AE13</f>
        <v>3220</v>
      </c>
      <c r="AG14" s="38">
        <f>AG10+AG13</f>
        <v>919</v>
      </c>
      <c r="AH14" s="148">
        <f>AH10+AH13</f>
        <v>856</v>
      </c>
      <c r="AI14" s="148">
        <f>AI10+AI13</f>
        <v>904</v>
      </c>
      <c r="AJ14" s="120">
        <f>AJ10+AJ13</f>
        <v>708</v>
      </c>
      <c r="AK14" s="16">
        <v>3387</v>
      </c>
      <c r="AL14" s="33"/>
      <c r="AM14" s="172">
        <v>817</v>
      </c>
      <c r="AN14" s="172">
        <v>959</v>
      </c>
      <c r="AO14" s="172">
        <f>+AO10+AO13</f>
        <v>1067</v>
      </c>
      <c r="AP14" s="266">
        <v>1332</v>
      </c>
      <c r="AQ14" s="266">
        <f>AQ10+AQ13</f>
        <v>4175</v>
      </c>
      <c r="AR14" s="276"/>
      <c r="AS14" s="287">
        <f>AS10+AS13</f>
        <v>1572</v>
      </c>
      <c r="AT14" s="287">
        <v>1367</v>
      </c>
      <c r="AU14" s="287">
        <v>1038</v>
      </c>
      <c r="AV14" s="287">
        <v>1200</v>
      </c>
      <c r="AW14" s="287">
        <v>5177</v>
      </c>
      <c r="AX14" s="387">
        <f>AX10+AX13</f>
        <v>1823</v>
      </c>
      <c r="AY14" s="426">
        <f>AY10+AY13</f>
        <v>1485</v>
      </c>
      <c r="AZ14" s="426">
        <f>AZ10+AZ13</f>
        <v>946</v>
      </c>
      <c r="BA14" s="426">
        <f>BA10+BA13</f>
        <v>1018</v>
      </c>
      <c r="BB14" s="426">
        <f>BB10+BB13</f>
        <v>5272</v>
      </c>
      <c r="BC14" s="426">
        <v>1262</v>
      </c>
      <c r="BD14" s="426">
        <v>835</v>
      </c>
      <c r="BE14" s="427">
        <v>778</v>
      </c>
    </row>
    <row r="15" spans="1:57" s="20" customFormat="1" ht="12" customHeight="1">
      <c r="A15" s="582" t="s">
        <v>77</v>
      </c>
      <c r="B15" s="18"/>
      <c r="C15" s="41">
        <v>-30</v>
      </c>
      <c r="D15" s="19">
        <v>-32</v>
      </c>
      <c r="E15" s="19">
        <v>-27</v>
      </c>
      <c r="F15" s="19">
        <v>-31</v>
      </c>
      <c r="G15" s="19">
        <v>-120</v>
      </c>
      <c r="H15" s="18"/>
      <c r="I15" s="41">
        <v>-31</v>
      </c>
      <c r="J15" s="19">
        <f>-58-I15</f>
        <v>-27</v>
      </c>
      <c r="K15" s="19">
        <f>-85-J15-I15</f>
        <v>-27</v>
      </c>
      <c r="L15" s="19">
        <f>M15-K15-J15-I15</f>
        <v>-30</v>
      </c>
      <c r="M15" s="19">
        <v>-115</v>
      </c>
      <c r="N15" s="114"/>
      <c r="O15" s="41">
        <v>-25</v>
      </c>
      <c r="P15" s="19">
        <f>-50-O15</f>
        <v>-25</v>
      </c>
      <c r="Q15" s="19">
        <f>-85-P15-O15</f>
        <v>-35</v>
      </c>
      <c r="R15" s="19">
        <f>S15-Q15-P15-O15</f>
        <v>-41</v>
      </c>
      <c r="S15" s="19">
        <v>-126</v>
      </c>
      <c r="U15" s="41">
        <v>-26</v>
      </c>
      <c r="V15" s="19">
        <v>-30</v>
      </c>
      <c r="W15" s="19">
        <v>-27</v>
      </c>
      <c r="X15" s="19">
        <v>-29</v>
      </c>
      <c r="Y15" s="19">
        <f t="shared" si="0"/>
        <v>-112</v>
      </c>
      <c r="Z15" s="54"/>
      <c r="AA15" s="41">
        <v>-24</v>
      </c>
      <c r="AB15" s="19">
        <v>-28</v>
      </c>
      <c r="AC15" s="19">
        <v>-29</v>
      </c>
      <c r="AD15" s="19">
        <v>-34</v>
      </c>
      <c r="AE15" s="19">
        <v>-115</v>
      </c>
      <c r="AG15" s="41">
        <v>-31</v>
      </c>
      <c r="AH15" s="120">
        <v>-32</v>
      </c>
      <c r="AI15" s="120">
        <f>-92+31+32</f>
        <v>-29</v>
      </c>
      <c r="AJ15" s="120">
        <v>-32</v>
      </c>
      <c r="AK15" s="19">
        <v>-124</v>
      </c>
      <c r="AL15" s="33"/>
      <c r="AM15" s="120">
        <v>-31</v>
      </c>
      <c r="AN15" s="120">
        <v>-35</v>
      </c>
      <c r="AO15" s="120">
        <v>-30</v>
      </c>
      <c r="AP15" s="19">
        <v>-36</v>
      </c>
      <c r="AQ15" s="19">
        <v>-132</v>
      </c>
      <c r="AR15" s="54"/>
      <c r="AS15" s="281">
        <v>-39</v>
      </c>
      <c r="AT15" s="281">
        <v>-39</v>
      </c>
      <c r="AU15" s="281">
        <v>-37</v>
      </c>
      <c r="AV15" s="371">
        <v>-41</v>
      </c>
      <c r="AW15" s="371">
        <v>-156</v>
      </c>
      <c r="AX15" s="381">
        <v>-39</v>
      </c>
      <c r="AY15" s="381">
        <v>-45</v>
      </c>
      <c r="AZ15" s="423">
        <v>-43</v>
      </c>
      <c r="BA15" s="423">
        <f>BB15-AZ15-AY15-AX15</f>
        <v>-46</v>
      </c>
      <c r="BB15" s="423">
        <v>-173</v>
      </c>
      <c r="BC15" s="423">
        <v>-44</v>
      </c>
      <c r="BD15" s="423">
        <v>-43</v>
      </c>
      <c r="BE15" s="428">
        <v>-41</v>
      </c>
    </row>
    <row r="16" spans="1:57" s="20" customFormat="1" ht="12" customHeight="1">
      <c r="A16" s="582" t="s">
        <v>78</v>
      </c>
      <c r="B16" s="18"/>
      <c r="C16" s="41">
        <v>-172</v>
      </c>
      <c r="D16" s="19">
        <v>-166</v>
      </c>
      <c r="E16" s="19">
        <v>-173</v>
      </c>
      <c r="F16" s="19">
        <v>-224</v>
      </c>
      <c r="G16" s="19">
        <v>-735</v>
      </c>
      <c r="H16" s="18"/>
      <c r="I16" s="41">
        <v>-135</v>
      </c>
      <c r="J16" s="19">
        <f>-317-I16</f>
        <v>-182</v>
      </c>
      <c r="K16" s="19">
        <f>-489-J16-I16</f>
        <v>-172</v>
      </c>
      <c r="L16" s="19">
        <f>M16-K16-J16-I16</f>
        <v>-242</v>
      </c>
      <c r="M16" s="19">
        <v>-731</v>
      </c>
      <c r="N16" s="114"/>
      <c r="O16" s="41">
        <v>-140</v>
      </c>
      <c r="P16" s="19">
        <f>-338-O16</f>
        <v>-198</v>
      </c>
      <c r="Q16" s="19">
        <f>-534-P16-O16</f>
        <v>-196</v>
      </c>
      <c r="R16" s="19">
        <f>S16-Q16-P16-O16</f>
        <v>-227</v>
      </c>
      <c r="S16" s="19">
        <v>-761</v>
      </c>
      <c r="U16" s="41">
        <v>-150</v>
      </c>
      <c r="V16" s="19">
        <v>-189</v>
      </c>
      <c r="W16" s="19">
        <v>-199</v>
      </c>
      <c r="X16" s="19">
        <v>-227</v>
      </c>
      <c r="Y16" s="19">
        <f t="shared" si="0"/>
        <v>-765</v>
      </c>
      <c r="Z16" s="54"/>
      <c r="AA16" s="41">
        <v>-158</v>
      </c>
      <c r="AB16" s="19">
        <v>-208</v>
      </c>
      <c r="AC16" s="19">
        <v>-207</v>
      </c>
      <c r="AD16" s="19">
        <v>-235</v>
      </c>
      <c r="AE16" s="19">
        <v>-808</v>
      </c>
      <c r="AG16" s="41">
        <v>-163</v>
      </c>
      <c r="AH16" s="120">
        <v>-216</v>
      </c>
      <c r="AI16" s="120">
        <f>-612+163+216</f>
        <v>-233</v>
      </c>
      <c r="AJ16" s="120">
        <v>-259</v>
      </c>
      <c r="AK16" s="19">
        <v>-871</v>
      </c>
      <c r="AL16" s="33"/>
      <c r="AM16" s="120">
        <v>-170</v>
      </c>
      <c r="AN16" s="120">
        <v>-204</v>
      </c>
      <c r="AO16" s="120">
        <v>-217</v>
      </c>
      <c r="AP16" s="19">
        <v>-287</v>
      </c>
      <c r="AQ16" s="19">
        <v>-878</v>
      </c>
      <c r="AR16" s="54"/>
      <c r="AS16" s="281">
        <v>-174</v>
      </c>
      <c r="AT16" s="281">
        <v>-193</v>
      </c>
      <c r="AU16" s="281">
        <v>-245</v>
      </c>
      <c r="AV16" s="371">
        <v>-305</v>
      </c>
      <c r="AW16" s="371">
        <v>-917</v>
      </c>
      <c r="AX16" s="381">
        <v>-182</v>
      </c>
      <c r="AY16" s="381">
        <v>-298</v>
      </c>
      <c r="AZ16" s="423">
        <v>-274</v>
      </c>
      <c r="BA16" s="423">
        <f>BB16-AZ16-AY16-AX16</f>
        <v>-379</v>
      </c>
      <c r="BB16" s="423">
        <v>-1133</v>
      </c>
      <c r="BC16" s="423">
        <v>-221</v>
      </c>
      <c r="BD16" s="423">
        <v>-348</v>
      </c>
      <c r="BE16" s="428">
        <v>-291</v>
      </c>
    </row>
    <row r="17" spans="1:57" s="20" customFormat="1" ht="12" customHeight="1">
      <c r="A17" s="577" t="s">
        <v>244</v>
      </c>
      <c r="B17" s="72"/>
      <c r="C17" s="38">
        <f>C14+C15+C16</f>
        <v>776</v>
      </c>
      <c r="D17" s="16">
        <f>D14+D15+D16</f>
        <v>824</v>
      </c>
      <c r="E17" s="16">
        <f>E14+E15+E16</f>
        <v>902</v>
      </c>
      <c r="F17" s="16">
        <f>F14+F15+F16</f>
        <v>1011</v>
      </c>
      <c r="G17" s="16">
        <f>G14+G15+G16</f>
        <v>3513</v>
      </c>
      <c r="H17" s="72"/>
      <c r="I17" s="38">
        <f>I14+I15+I16</f>
        <v>869</v>
      </c>
      <c r="J17" s="16">
        <f>J14+J15+J16</f>
        <v>1066</v>
      </c>
      <c r="K17" s="16">
        <f>K14+K15+K16</f>
        <v>662</v>
      </c>
      <c r="L17" s="16">
        <f>L14+L15+L16</f>
        <v>687</v>
      </c>
      <c r="M17" s="16">
        <f>M14+M15+M16</f>
        <v>3284</v>
      </c>
      <c r="N17" s="113"/>
      <c r="O17" s="38">
        <f>O14+O15+O16</f>
        <v>459</v>
      </c>
      <c r="P17" s="16">
        <f>P14+P15+P16</f>
        <v>553</v>
      </c>
      <c r="Q17" s="16">
        <f>Q14+Q15+Q16</f>
        <v>682</v>
      </c>
      <c r="R17" s="16">
        <f>R14+R15+R16</f>
        <v>901</v>
      </c>
      <c r="S17" s="16">
        <f>S14+S15+S16</f>
        <v>2595</v>
      </c>
      <c r="U17" s="38">
        <f>U14+U15+U16</f>
        <v>1065</v>
      </c>
      <c r="V17" s="16">
        <f>V14+V15+V16</f>
        <v>670</v>
      </c>
      <c r="W17" s="16">
        <f>W14+W15+W16</f>
        <v>712</v>
      </c>
      <c r="X17" s="16">
        <v>678</v>
      </c>
      <c r="Y17" s="16">
        <f t="shared" si="0"/>
        <v>3125</v>
      </c>
      <c r="Z17" s="53"/>
      <c r="AA17" s="38">
        <f>AA14+AA15+AA16</f>
        <v>520</v>
      </c>
      <c r="AB17" s="16">
        <f>AB14+AB15+AB16</f>
        <v>646</v>
      </c>
      <c r="AC17" s="16">
        <f>AC14+AC15+AC16</f>
        <v>602</v>
      </c>
      <c r="AD17" s="16">
        <f>AD14+AD15+AD16</f>
        <v>529</v>
      </c>
      <c r="AE17" s="16">
        <f>AE14+AE15+AE16</f>
        <v>2297</v>
      </c>
      <c r="AG17" s="38">
        <f>AG14+AG15+AG16</f>
        <v>725</v>
      </c>
      <c r="AH17" s="148">
        <f>AH14+AH15+AH16</f>
        <v>608</v>
      </c>
      <c r="AI17" s="148">
        <f>AI14+AI15+AI16</f>
        <v>642</v>
      </c>
      <c r="AJ17" s="356">
        <f>AJ14+AJ15+AJ16</f>
        <v>417</v>
      </c>
      <c r="AK17" s="16">
        <v>2392</v>
      </c>
      <c r="AL17" s="33"/>
      <c r="AM17" s="172">
        <v>616</v>
      </c>
      <c r="AN17" s="172">
        <v>720</v>
      </c>
      <c r="AO17" s="172">
        <f>+AO14+AO15+AO16</f>
        <v>820</v>
      </c>
      <c r="AP17" s="266">
        <v>1009</v>
      </c>
      <c r="AQ17" s="266">
        <f>AQ14+AQ15+AQ16</f>
        <v>3165</v>
      </c>
      <c r="AR17" s="276"/>
      <c r="AS17" s="287">
        <f aca="true" t="shared" si="1" ref="AS17:BA17">AS14+AS15+AS16</f>
        <v>1359</v>
      </c>
      <c r="AT17" s="287">
        <f t="shared" si="1"/>
        <v>1135</v>
      </c>
      <c r="AU17" s="287">
        <f t="shared" si="1"/>
        <v>756</v>
      </c>
      <c r="AV17" s="287">
        <f t="shared" si="1"/>
        <v>854</v>
      </c>
      <c r="AW17" s="287">
        <f t="shared" si="1"/>
        <v>4104</v>
      </c>
      <c r="AX17" s="387">
        <f>AX14+AX15+AX16</f>
        <v>1602</v>
      </c>
      <c r="AY17" s="426">
        <f>AY14+AY15+AY16</f>
        <v>1142</v>
      </c>
      <c r="AZ17" s="426">
        <f t="shared" si="1"/>
        <v>629</v>
      </c>
      <c r="BA17" s="426">
        <f t="shared" si="1"/>
        <v>593</v>
      </c>
      <c r="BB17" s="426">
        <f>BB14+BB15+BB16</f>
        <v>3966</v>
      </c>
      <c r="BC17" s="426">
        <v>997</v>
      </c>
      <c r="BD17" s="426">
        <f>+BD14+BD15+BD16</f>
        <v>444</v>
      </c>
      <c r="BE17" s="427">
        <f>+BE14+BE15+BE16</f>
        <v>446</v>
      </c>
    </row>
    <row r="18" spans="1:57" s="17" customFormat="1" ht="12" customHeight="1">
      <c r="A18" s="576" t="s">
        <v>85</v>
      </c>
      <c r="B18" s="15"/>
      <c r="C18" s="38">
        <f>SUM(C19:C25)</f>
        <v>-58</v>
      </c>
      <c r="D18" s="16">
        <f>-54-C18</f>
        <v>4</v>
      </c>
      <c r="E18" s="16">
        <f>SUM(E20:E25)</f>
        <v>51</v>
      </c>
      <c r="F18" s="16">
        <f>SUM(F19:F25)</f>
        <v>35</v>
      </c>
      <c r="G18" s="16">
        <v>32</v>
      </c>
      <c r="H18" s="15"/>
      <c r="I18" s="38">
        <f>SUM(I19:I25)</f>
        <v>-79</v>
      </c>
      <c r="J18" s="16">
        <f>-12-I18</f>
        <v>67</v>
      </c>
      <c r="K18" s="16">
        <v>-95</v>
      </c>
      <c r="L18" s="16">
        <v>-4957</v>
      </c>
      <c r="M18" s="16">
        <v>-5064</v>
      </c>
      <c r="N18" s="113"/>
      <c r="O18" s="38">
        <v>-162</v>
      </c>
      <c r="P18" s="16">
        <f>161-O18</f>
        <v>323</v>
      </c>
      <c r="Q18" s="16">
        <v>-81</v>
      </c>
      <c r="R18" s="16">
        <v>-5509</v>
      </c>
      <c r="S18" s="16">
        <v>-5429</v>
      </c>
      <c r="U18" s="38">
        <f>U19+U20+U21+U23+U25</f>
        <v>-270</v>
      </c>
      <c r="V18" s="16">
        <f>V19+V20+V21+V23+V25</f>
        <v>-327</v>
      </c>
      <c r="W18" s="16">
        <f>W19+W20+W21+W23+W25</f>
        <v>-92</v>
      </c>
      <c r="X18" s="16">
        <v>-1315</v>
      </c>
      <c r="Y18" s="16">
        <f t="shared" si="0"/>
        <v>-2004</v>
      </c>
      <c r="Z18" s="53"/>
      <c r="AA18" s="38">
        <f>AA19+AA20+AA21+AA22+AA23+AA24+AA25</f>
        <v>83</v>
      </c>
      <c r="AB18" s="16">
        <f>AB19+AB20+AB21+AB22+AB23+AB24+AB25</f>
        <v>625</v>
      </c>
      <c r="AC18" s="16">
        <f>AC19+AC20+AC21+AC22+AC23+AC24+AC25</f>
        <v>-49</v>
      </c>
      <c r="AD18" s="16">
        <f>AD19+AD20+AD21+AD22+AD23+AD24+AD25</f>
        <v>490</v>
      </c>
      <c r="AE18" s="16">
        <f>AE19+AE20+AE21+AE22+AE23+AE24+AE25</f>
        <v>1149</v>
      </c>
      <c r="AG18" s="38">
        <f>AG19+AG20+AG21+AG22+AG23+AG24+AG25</f>
        <v>379</v>
      </c>
      <c r="AH18" s="148">
        <f>AH19+AH20+AH21+AH22+AH23+AH24+AH25</f>
        <v>73</v>
      </c>
      <c r="AI18" s="148">
        <f>AI19+AI20+AI21+AI22+AI23+AI24+AI25</f>
        <v>564</v>
      </c>
      <c r="AJ18" s="356">
        <f>AJ19+AJ20+AJ21+AJ22+AJ23+AJ24+AJ25</f>
        <v>-977</v>
      </c>
      <c r="AK18" s="16">
        <v>39</v>
      </c>
      <c r="AL18" s="32"/>
      <c r="AM18" s="172">
        <v>488</v>
      </c>
      <c r="AN18" s="148">
        <v>-532</v>
      </c>
      <c r="AO18" s="148">
        <f>+AO19+AO20+AO21+AO22+AO23+AO24+AO25</f>
        <v>-223</v>
      </c>
      <c r="AP18" s="16">
        <f>AP19+AP20+AP21+AP22+AP23+AP24+AP25</f>
        <v>-131</v>
      </c>
      <c r="AQ18" s="16">
        <f>AQ19+AQ20+AQ21+AQ22+AQ23+AQ24+AQ25</f>
        <v>-398</v>
      </c>
      <c r="AR18" s="53"/>
      <c r="AS18" s="282">
        <f aca="true" t="shared" si="2" ref="AS18:BA18">AS19+AS20+AS21+AS22+AS23+AS24+AS25</f>
        <v>368</v>
      </c>
      <c r="AT18" s="287">
        <f t="shared" si="2"/>
        <v>2425</v>
      </c>
      <c r="AU18" s="287">
        <f t="shared" si="2"/>
        <v>404</v>
      </c>
      <c r="AV18" s="382">
        <f t="shared" si="2"/>
        <v>-109</v>
      </c>
      <c r="AW18" s="287">
        <f t="shared" si="2"/>
        <v>3088</v>
      </c>
      <c r="AX18" s="387">
        <f t="shared" si="2"/>
        <v>341</v>
      </c>
      <c r="AY18" s="426">
        <f>AY19+AY20+AY21+AY22+AY23+AY24+AY25</f>
        <v>1052</v>
      </c>
      <c r="AZ18" s="426">
        <f t="shared" si="2"/>
        <v>807</v>
      </c>
      <c r="BA18" s="424">
        <f t="shared" si="2"/>
        <v>-901</v>
      </c>
      <c r="BB18" s="426">
        <f>+BB19+BB20+BB21+BB22+BB23+BB24+BB25</f>
        <v>1299</v>
      </c>
      <c r="BC18" s="424">
        <v>-184</v>
      </c>
      <c r="BD18" s="424">
        <f>+BD19+BD20+BD21+BD22+BD23+BD24+BD25</f>
        <v>373</v>
      </c>
      <c r="BE18" s="427">
        <f>+BE19+BE20+BE21+BE22+BE23+BE24+BE25</f>
        <v>689</v>
      </c>
    </row>
    <row r="19" spans="1:57" s="20" customFormat="1" ht="12" customHeight="1">
      <c r="A19" s="579" t="s">
        <v>245</v>
      </c>
      <c r="B19" s="18"/>
      <c r="C19" s="115" t="s">
        <v>15</v>
      </c>
      <c r="D19" s="116" t="s">
        <v>15</v>
      </c>
      <c r="E19" s="116" t="s">
        <v>15</v>
      </c>
      <c r="F19" s="19">
        <v>-32</v>
      </c>
      <c r="G19" s="19">
        <v>-32</v>
      </c>
      <c r="H19" s="18"/>
      <c r="I19" s="115" t="s">
        <v>15</v>
      </c>
      <c r="J19" s="116" t="s">
        <v>15</v>
      </c>
      <c r="K19" s="19">
        <v>-194</v>
      </c>
      <c r="L19" s="19">
        <v>-5074</v>
      </c>
      <c r="M19" s="19">
        <v>-5268</v>
      </c>
      <c r="N19" s="114"/>
      <c r="O19" s="41">
        <v>-57</v>
      </c>
      <c r="P19" s="19">
        <v>0</v>
      </c>
      <c r="Q19" s="19">
        <v>0</v>
      </c>
      <c r="R19" s="19">
        <v>-6140</v>
      </c>
      <c r="S19" s="19">
        <f>SUM(O19:R19)</f>
        <v>-6197</v>
      </c>
      <c r="U19" s="41">
        <v>0</v>
      </c>
      <c r="V19" s="19">
        <v>0</v>
      </c>
      <c r="W19" s="19">
        <v>0</v>
      </c>
      <c r="X19" s="19">
        <v>-936</v>
      </c>
      <c r="Y19" s="19">
        <f t="shared" si="0"/>
        <v>-936</v>
      </c>
      <c r="Z19" s="54"/>
      <c r="AA19" s="41">
        <v>49</v>
      </c>
      <c r="AB19" s="19">
        <v>94</v>
      </c>
      <c r="AC19" s="19">
        <v>18</v>
      </c>
      <c r="AD19" s="19">
        <v>473</v>
      </c>
      <c r="AE19" s="19">
        <v>634</v>
      </c>
      <c r="AG19" s="41">
        <v>95</v>
      </c>
      <c r="AH19" s="120">
        <f>17-10</f>
        <v>7</v>
      </c>
      <c r="AI19" s="120">
        <f>17-20</f>
        <v>-3</v>
      </c>
      <c r="AJ19" s="120">
        <v>-457</v>
      </c>
      <c r="AK19" s="19">
        <v>-358</v>
      </c>
      <c r="AL19" s="33"/>
      <c r="AM19" s="120">
        <f>-176-42</f>
        <v>-218</v>
      </c>
      <c r="AN19" s="120">
        <v>-1</v>
      </c>
      <c r="AO19" s="120">
        <v>25</v>
      </c>
      <c r="AP19" s="19">
        <v>-39</v>
      </c>
      <c r="AQ19" s="19">
        <v>-233</v>
      </c>
      <c r="AR19" s="54"/>
      <c r="AS19" s="281">
        <v>13</v>
      </c>
      <c r="AT19" s="281">
        <v>1500</v>
      </c>
      <c r="AU19" s="281">
        <f>26-3</f>
        <v>23</v>
      </c>
      <c r="AV19" s="371">
        <v>85</v>
      </c>
      <c r="AW19" s="371">
        <v>1621</v>
      </c>
      <c r="AX19" s="381">
        <v>52</v>
      </c>
      <c r="AY19" s="381">
        <v>136</v>
      </c>
      <c r="AZ19" s="423">
        <v>-15</v>
      </c>
      <c r="BA19" s="423">
        <v>27</v>
      </c>
      <c r="BB19" s="423">
        <v>200</v>
      </c>
      <c r="BC19" s="423">
        <v>-4</v>
      </c>
      <c r="BD19" s="423">
        <v>85</v>
      </c>
      <c r="BE19" s="428">
        <v>5</v>
      </c>
    </row>
    <row r="20" spans="1:57" s="20" customFormat="1" ht="22.5" customHeight="1">
      <c r="A20" s="579" t="s">
        <v>246</v>
      </c>
      <c r="B20" s="18"/>
      <c r="C20" s="41">
        <v>-1</v>
      </c>
      <c r="D20" s="19">
        <v>-4</v>
      </c>
      <c r="E20" s="19">
        <v>63</v>
      </c>
      <c r="F20" s="19">
        <v>99</v>
      </c>
      <c r="G20" s="19">
        <v>157</v>
      </c>
      <c r="H20" s="18"/>
      <c r="I20" s="41">
        <v>148</v>
      </c>
      <c r="J20" s="19">
        <v>-96</v>
      </c>
      <c r="K20" s="19">
        <v>8</v>
      </c>
      <c r="L20" s="19">
        <v>99</v>
      </c>
      <c r="M20" s="19">
        <v>159</v>
      </c>
      <c r="N20" s="114"/>
      <c r="O20" s="41">
        <v>-306</v>
      </c>
      <c r="P20" s="19">
        <v>399</v>
      </c>
      <c r="Q20" s="19">
        <v>-256</v>
      </c>
      <c r="R20" s="19">
        <v>645</v>
      </c>
      <c r="S20" s="19">
        <f>SUM(O20:R20)</f>
        <v>482</v>
      </c>
      <c r="U20" s="41">
        <v>-425</v>
      </c>
      <c r="V20" s="19">
        <v>-410</v>
      </c>
      <c r="W20" s="19">
        <v>-64</v>
      </c>
      <c r="X20" s="19">
        <v>-280</v>
      </c>
      <c r="Y20" s="19">
        <f t="shared" si="0"/>
        <v>-1179</v>
      </c>
      <c r="Z20" s="54"/>
      <c r="AA20" s="41">
        <v>-124</v>
      </c>
      <c r="AB20" s="19">
        <v>451</v>
      </c>
      <c r="AC20" s="19">
        <v>-103</v>
      </c>
      <c r="AD20" s="19">
        <v>162</v>
      </c>
      <c r="AE20" s="19">
        <v>386</v>
      </c>
      <c r="AG20" s="41">
        <v>143</v>
      </c>
      <c r="AH20" s="120">
        <v>-127</v>
      </c>
      <c r="AI20" s="120">
        <f>492</f>
        <v>492</v>
      </c>
      <c r="AJ20" s="120">
        <v>-340</v>
      </c>
      <c r="AK20" s="19">
        <v>168</v>
      </c>
      <c r="AL20" s="33"/>
      <c r="AM20" s="152">
        <v>446</v>
      </c>
      <c r="AN20" s="120">
        <v>-420</v>
      </c>
      <c r="AO20" s="120">
        <v>-145</v>
      </c>
      <c r="AP20" s="19">
        <v>-150</v>
      </c>
      <c r="AQ20" s="19">
        <v>-269</v>
      </c>
      <c r="AR20" s="54"/>
      <c r="AS20" s="281">
        <v>358</v>
      </c>
      <c r="AT20" s="281">
        <v>-211</v>
      </c>
      <c r="AU20" s="281">
        <v>229</v>
      </c>
      <c r="AV20" s="371">
        <v>135</v>
      </c>
      <c r="AW20" s="371">
        <v>511</v>
      </c>
      <c r="AX20" s="381">
        <v>219</v>
      </c>
      <c r="AY20" s="381">
        <v>477</v>
      </c>
      <c r="AZ20" s="423">
        <v>600</v>
      </c>
      <c r="BA20" s="423">
        <v>-796</v>
      </c>
      <c r="BB20" s="423">
        <v>500</v>
      </c>
      <c r="BC20" s="423">
        <v>-173</v>
      </c>
      <c r="BD20" s="423">
        <v>-291</v>
      </c>
      <c r="BE20" s="428">
        <v>370</v>
      </c>
    </row>
    <row r="21" spans="1:57" s="20" customFormat="1" ht="12" customHeight="1">
      <c r="A21" s="579" t="s">
        <v>247</v>
      </c>
      <c r="B21" s="18"/>
      <c r="C21" s="341">
        <v>5</v>
      </c>
      <c r="D21" s="338">
        <v>11</v>
      </c>
      <c r="E21" s="338">
        <v>11</v>
      </c>
      <c r="F21" s="338">
        <v>21</v>
      </c>
      <c r="G21" s="338">
        <v>48</v>
      </c>
      <c r="H21" s="18"/>
      <c r="I21" s="341">
        <v>33</v>
      </c>
      <c r="J21" s="338">
        <v>46</v>
      </c>
      <c r="K21" s="338">
        <v>65</v>
      </c>
      <c r="L21" s="338">
        <v>82</v>
      </c>
      <c r="M21" s="338">
        <v>226</v>
      </c>
      <c r="N21" s="114"/>
      <c r="O21" s="341">
        <v>79</v>
      </c>
      <c r="P21" s="338">
        <v>91</v>
      </c>
      <c r="Q21" s="338">
        <v>84</v>
      </c>
      <c r="R21" s="338">
        <v>122</v>
      </c>
      <c r="S21" s="338">
        <f>SUM(O21:R21)</f>
        <v>376</v>
      </c>
      <c r="U21" s="341">
        <v>96</v>
      </c>
      <c r="V21" s="338">
        <v>85</v>
      </c>
      <c r="W21" s="338">
        <v>64</v>
      </c>
      <c r="X21" s="338">
        <v>55</v>
      </c>
      <c r="Y21" s="338">
        <f t="shared" si="0"/>
        <v>300</v>
      </c>
      <c r="Z21" s="54"/>
      <c r="AA21" s="341">
        <v>0</v>
      </c>
      <c r="AB21" s="338">
        <v>0</v>
      </c>
      <c r="AC21" s="338">
        <v>0</v>
      </c>
      <c r="AD21" s="338">
        <v>0</v>
      </c>
      <c r="AE21" s="338">
        <v>0</v>
      </c>
      <c r="AG21" s="341">
        <v>0</v>
      </c>
      <c r="AH21" s="338">
        <v>0</v>
      </c>
      <c r="AI21" s="338">
        <v>0</v>
      </c>
      <c r="AJ21" s="338">
        <v>0</v>
      </c>
      <c r="AK21" s="338">
        <v>0</v>
      </c>
      <c r="AL21" s="33"/>
      <c r="AM21" s="338">
        <v>0</v>
      </c>
      <c r="AN21" s="338">
        <v>0</v>
      </c>
      <c r="AO21" s="338">
        <v>0</v>
      </c>
      <c r="AP21" s="338">
        <v>0</v>
      </c>
      <c r="AQ21" s="338">
        <v>0</v>
      </c>
      <c r="AR21" s="54"/>
      <c r="AS21" s="341">
        <v>0</v>
      </c>
      <c r="AT21" s="341">
        <v>0</v>
      </c>
      <c r="AU21" s="341">
        <v>0</v>
      </c>
      <c r="AV21" s="341">
        <v>0</v>
      </c>
      <c r="AW21" s="341">
        <v>0</v>
      </c>
      <c r="AX21" s="341">
        <v>0</v>
      </c>
      <c r="AY21" s="341">
        <v>0</v>
      </c>
      <c r="AZ21" s="341">
        <v>0</v>
      </c>
      <c r="BA21" s="341">
        <v>0</v>
      </c>
      <c r="BB21" s="341">
        <v>0</v>
      </c>
      <c r="BC21" s="341">
        <v>0</v>
      </c>
      <c r="BD21" s="341">
        <v>0</v>
      </c>
      <c r="BE21" s="428">
        <v>0</v>
      </c>
    </row>
    <row r="22" spans="1:57" s="20" customFormat="1" ht="12" customHeight="1">
      <c r="A22" s="579" t="s">
        <v>248</v>
      </c>
      <c r="B22" s="18"/>
      <c r="C22" s="341">
        <v>0</v>
      </c>
      <c r="D22" s="338">
        <v>0</v>
      </c>
      <c r="E22" s="338">
        <v>0</v>
      </c>
      <c r="F22" s="338">
        <v>0</v>
      </c>
      <c r="G22" s="338">
        <v>0</v>
      </c>
      <c r="H22" s="18"/>
      <c r="I22" s="341">
        <v>0</v>
      </c>
      <c r="J22" s="338">
        <v>0</v>
      </c>
      <c r="K22" s="338">
        <v>0</v>
      </c>
      <c r="L22" s="338">
        <v>0</v>
      </c>
      <c r="M22" s="338">
        <v>0</v>
      </c>
      <c r="N22" s="114"/>
      <c r="O22" s="341">
        <v>0</v>
      </c>
      <c r="P22" s="338">
        <v>0</v>
      </c>
      <c r="Q22" s="338">
        <v>0</v>
      </c>
      <c r="R22" s="338">
        <v>0</v>
      </c>
      <c r="S22" s="338">
        <v>0</v>
      </c>
      <c r="U22" s="341">
        <v>0</v>
      </c>
      <c r="V22" s="338">
        <v>0</v>
      </c>
      <c r="W22" s="338">
        <v>0</v>
      </c>
      <c r="X22" s="338">
        <v>0</v>
      </c>
      <c r="Y22" s="338">
        <f t="shared" si="0"/>
        <v>0</v>
      </c>
      <c r="Z22" s="54"/>
      <c r="AA22" s="341">
        <v>57</v>
      </c>
      <c r="AB22" s="338">
        <v>69</v>
      </c>
      <c r="AC22" s="338">
        <v>62</v>
      </c>
      <c r="AD22" s="338">
        <v>56</v>
      </c>
      <c r="AE22" s="338">
        <v>244</v>
      </c>
      <c r="AG22" s="341">
        <v>66</v>
      </c>
      <c r="AH22" s="338">
        <v>66</v>
      </c>
      <c r="AI22" s="338">
        <v>80</v>
      </c>
      <c r="AJ22" s="338">
        <v>60</v>
      </c>
      <c r="AK22" s="338">
        <v>272</v>
      </c>
      <c r="AL22" s="33"/>
      <c r="AM22" s="103">
        <v>73</v>
      </c>
      <c r="AN22" s="103">
        <v>68</v>
      </c>
      <c r="AO22" s="103">
        <v>64</v>
      </c>
      <c r="AP22" s="338">
        <v>64</v>
      </c>
      <c r="AQ22" s="103">
        <v>269</v>
      </c>
      <c r="AR22" s="104"/>
      <c r="AS22" s="341">
        <v>67</v>
      </c>
      <c r="AT22" s="341">
        <v>64</v>
      </c>
      <c r="AU22" s="341">
        <v>94</v>
      </c>
      <c r="AV22" s="341">
        <v>79</v>
      </c>
      <c r="AW22" s="341">
        <v>304</v>
      </c>
      <c r="AX22" s="341">
        <v>63</v>
      </c>
      <c r="AY22" s="341">
        <v>94</v>
      </c>
      <c r="AZ22" s="341">
        <v>97</v>
      </c>
      <c r="BA22" s="341">
        <v>94</v>
      </c>
      <c r="BB22" s="341">
        <v>348</v>
      </c>
      <c r="BC22" s="341">
        <v>88</v>
      </c>
      <c r="BD22" s="341">
        <v>90</v>
      </c>
      <c r="BE22" s="428">
        <v>104</v>
      </c>
    </row>
    <row r="23" spans="1:57" s="20" customFormat="1" ht="12" customHeight="1">
      <c r="A23" s="579" t="s">
        <v>87</v>
      </c>
      <c r="B23" s="18"/>
      <c r="C23" s="41">
        <v>-70</v>
      </c>
      <c r="D23" s="19">
        <v>-34</v>
      </c>
      <c r="E23" s="19">
        <v>-5</v>
      </c>
      <c r="F23" s="19">
        <v>-70</v>
      </c>
      <c r="G23" s="19">
        <v>-179</v>
      </c>
      <c r="H23" s="18"/>
      <c r="I23" s="41">
        <v>-252</v>
      </c>
      <c r="J23" s="19">
        <v>59</v>
      </c>
      <c r="K23" s="19">
        <v>27</v>
      </c>
      <c r="L23" s="19">
        <v>-36</v>
      </c>
      <c r="M23" s="19">
        <v>-202</v>
      </c>
      <c r="N23" s="114"/>
      <c r="O23" s="41">
        <v>130</v>
      </c>
      <c r="P23" s="19">
        <v>-186</v>
      </c>
      <c r="Q23" s="19">
        <v>82</v>
      </c>
      <c r="R23" s="19">
        <v>-102</v>
      </c>
      <c r="S23" s="19">
        <f>SUM(O23:R23)</f>
        <v>-76</v>
      </c>
      <c r="U23" s="41">
        <v>70</v>
      </c>
      <c r="V23" s="19">
        <v>-2</v>
      </c>
      <c r="W23" s="19">
        <v>-110</v>
      </c>
      <c r="X23" s="19">
        <v>-171</v>
      </c>
      <c r="Y23" s="19">
        <f t="shared" si="0"/>
        <v>-213</v>
      </c>
      <c r="Z23" s="54"/>
      <c r="AA23" s="41">
        <v>-22</v>
      </c>
      <c r="AB23" s="19">
        <v>-6</v>
      </c>
      <c r="AC23" s="19">
        <v>-59</v>
      </c>
      <c r="AD23" s="19">
        <v>-49</v>
      </c>
      <c r="AE23" s="19">
        <v>-136</v>
      </c>
      <c r="AG23" s="41">
        <v>-19</v>
      </c>
      <c r="AH23" s="120">
        <f>48-57</f>
        <v>-9</v>
      </c>
      <c r="AI23" s="120">
        <f>34-63</f>
        <v>-29</v>
      </c>
      <c r="AJ23" s="120">
        <f>27-92</f>
        <v>-65</v>
      </c>
      <c r="AK23" s="19">
        <v>-122</v>
      </c>
      <c r="AL23" s="33"/>
      <c r="AM23" s="120">
        <v>-89</v>
      </c>
      <c r="AN23" s="120">
        <v>-45</v>
      </c>
      <c r="AO23" s="120">
        <v>-74</v>
      </c>
      <c r="AP23" s="19">
        <v>-32</v>
      </c>
      <c r="AQ23" s="19">
        <v>-240</v>
      </c>
      <c r="AR23" s="54"/>
      <c r="AS23" s="281">
        <v>-180</v>
      </c>
      <c r="AT23" s="281">
        <v>47</v>
      </c>
      <c r="AU23" s="281">
        <f>33-178</f>
        <v>-145</v>
      </c>
      <c r="AV23" s="371">
        <v>-167</v>
      </c>
      <c r="AW23" s="371">
        <v>-445</v>
      </c>
      <c r="AX23" s="381">
        <v>-57</v>
      </c>
      <c r="AY23" s="381">
        <v>64</v>
      </c>
      <c r="AZ23" s="423">
        <v>-102</v>
      </c>
      <c r="BA23" s="423">
        <v>-127</v>
      </c>
      <c r="BB23" s="423">
        <v>-222</v>
      </c>
      <c r="BC23" s="423">
        <v>-13</v>
      </c>
      <c r="BD23" s="423">
        <v>-37</v>
      </c>
      <c r="BE23" s="428">
        <v>-86</v>
      </c>
    </row>
    <row r="24" spans="1:57" s="20" customFormat="1" ht="22.5" customHeight="1">
      <c r="A24" s="579" t="s">
        <v>373</v>
      </c>
      <c r="B24" s="18"/>
      <c r="C24" s="41" t="s">
        <v>28</v>
      </c>
      <c r="D24" s="19" t="s">
        <v>28</v>
      </c>
      <c r="E24" s="19" t="s">
        <v>28</v>
      </c>
      <c r="F24" s="19" t="s">
        <v>28</v>
      </c>
      <c r="G24" s="19" t="s">
        <v>28</v>
      </c>
      <c r="H24" s="18"/>
      <c r="I24" s="41" t="s">
        <v>28</v>
      </c>
      <c r="J24" s="19" t="s">
        <v>28</v>
      </c>
      <c r="K24" s="19" t="s">
        <v>28</v>
      </c>
      <c r="L24" s="19" t="s">
        <v>28</v>
      </c>
      <c r="M24" s="19" t="s">
        <v>28</v>
      </c>
      <c r="N24" s="114"/>
      <c r="O24" s="41" t="s">
        <v>28</v>
      </c>
      <c r="P24" s="19" t="s">
        <v>28</v>
      </c>
      <c r="Q24" s="19" t="s">
        <v>28</v>
      </c>
      <c r="R24" s="19" t="s">
        <v>28</v>
      </c>
      <c r="S24" s="19" t="s">
        <v>28</v>
      </c>
      <c r="U24" s="41" t="s">
        <v>28</v>
      </c>
      <c r="V24" s="19" t="s">
        <v>28</v>
      </c>
      <c r="W24" s="19" t="s">
        <v>28</v>
      </c>
      <c r="X24" s="19" t="s">
        <v>28</v>
      </c>
      <c r="Y24" s="19" t="s">
        <v>28</v>
      </c>
      <c r="Z24" s="54"/>
      <c r="AA24" s="41">
        <v>113</v>
      </c>
      <c r="AB24" s="19">
        <v>-72</v>
      </c>
      <c r="AC24" s="19">
        <v>11</v>
      </c>
      <c r="AD24" s="19">
        <v>-115</v>
      </c>
      <c r="AE24" s="19">
        <v>-63</v>
      </c>
      <c r="AG24" s="41">
        <v>80</v>
      </c>
      <c r="AH24" s="120">
        <f>83-21</f>
        <v>62</v>
      </c>
      <c r="AI24" s="120">
        <f>201-64-80-62</f>
        <v>-5</v>
      </c>
      <c r="AJ24" s="120">
        <f>67-120</f>
        <v>-53</v>
      </c>
      <c r="AK24" s="19">
        <v>84</v>
      </c>
      <c r="AL24" s="33"/>
      <c r="AM24" s="152">
        <v>287</v>
      </c>
      <c r="AN24" s="120">
        <v>-175</v>
      </c>
      <c r="AO24" s="120">
        <v>-99</v>
      </c>
      <c r="AP24" s="19">
        <v>-33</v>
      </c>
      <c r="AQ24" s="19">
        <v>-20</v>
      </c>
      <c r="AR24" s="54"/>
      <c r="AS24" s="281">
        <v>70</v>
      </c>
      <c r="AT24" s="281">
        <v>989</v>
      </c>
      <c r="AU24" s="281">
        <f>175-5</f>
        <v>170</v>
      </c>
      <c r="AV24" s="371">
        <v>-222</v>
      </c>
      <c r="AW24" s="371">
        <v>1007</v>
      </c>
      <c r="AX24" s="381">
        <v>20</v>
      </c>
      <c r="AY24" s="381">
        <v>313</v>
      </c>
      <c r="AZ24" s="423">
        <v>392</v>
      </c>
      <c r="BA24" s="423">
        <v>-181</v>
      </c>
      <c r="BB24" s="423">
        <v>544</v>
      </c>
      <c r="BC24" s="423">
        <v>-53</v>
      </c>
      <c r="BD24" s="423">
        <v>544</v>
      </c>
      <c r="BE24" s="428">
        <v>306</v>
      </c>
    </row>
    <row r="25" spans="1:57" s="20" customFormat="1" ht="12" customHeight="1">
      <c r="A25" s="579" t="s">
        <v>88</v>
      </c>
      <c r="B25" s="18"/>
      <c r="C25" s="41">
        <v>8</v>
      </c>
      <c r="D25" s="19">
        <v>31</v>
      </c>
      <c r="E25" s="19">
        <v>-18</v>
      </c>
      <c r="F25" s="19">
        <v>17</v>
      </c>
      <c r="G25" s="19">
        <v>38</v>
      </c>
      <c r="H25" s="18"/>
      <c r="I25" s="41">
        <v>-8</v>
      </c>
      <c r="J25" s="19">
        <v>58</v>
      </c>
      <c r="K25" s="19">
        <v>-1</v>
      </c>
      <c r="L25" s="19">
        <v>-28</v>
      </c>
      <c r="M25" s="19">
        <v>21</v>
      </c>
      <c r="N25" s="114"/>
      <c r="O25" s="41">
        <v>-8</v>
      </c>
      <c r="P25" s="19">
        <v>19</v>
      </c>
      <c r="Q25" s="19">
        <v>9</v>
      </c>
      <c r="R25" s="19">
        <v>-34</v>
      </c>
      <c r="S25" s="19">
        <f>SUM(O25:R25)</f>
        <v>-14</v>
      </c>
      <c r="U25" s="41">
        <v>-11</v>
      </c>
      <c r="V25" s="19">
        <v>0</v>
      </c>
      <c r="W25" s="19">
        <v>18</v>
      </c>
      <c r="X25" s="19">
        <v>17</v>
      </c>
      <c r="Y25" s="19">
        <f t="shared" si="0"/>
        <v>24</v>
      </c>
      <c r="Z25" s="54"/>
      <c r="AA25" s="41">
        <f>175-49-3-113</f>
        <v>10</v>
      </c>
      <c r="AB25" s="19">
        <v>89</v>
      </c>
      <c r="AC25" s="19">
        <v>22</v>
      </c>
      <c r="AD25" s="19">
        <v>-37</v>
      </c>
      <c r="AE25" s="19">
        <v>84</v>
      </c>
      <c r="AG25" s="41">
        <v>14</v>
      </c>
      <c r="AH25" s="120">
        <f>9+37+49-21</f>
        <v>74</v>
      </c>
      <c r="AI25" s="120">
        <f>22+6+25-5-19</f>
        <v>29</v>
      </c>
      <c r="AJ25" s="120">
        <v>-122</v>
      </c>
      <c r="AK25" s="19">
        <v>-5</v>
      </c>
      <c r="AL25" s="33"/>
      <c r="AM25" s="120">
        <f>-53+42</f>
        <v>-11</v>
      </c>
      <c r="AN25" s="120">
        <v>41</v>
      </c>
      <c r="AO25" s="120">
        <v>6</v>
      </c>
      <c r="AP25" s="19">
        <v>59</v>
      </c>
      <c r="AQ25" s="19">
        <v>95</v>
      </c>
      <c r="AR25" s="54"/>
      <c r="AS25" s="281">
        <v>40</v>
      </c>
      <c r="AT25" s="281">
        <v>36</v>
      </c>
      <c r="AU25" s="281">
        <f>6+5+58-16-9-11</f>
        <v>33</v>
      </c>
      <c r="AV25" s="371">
        <v>-19</v>
      </c>
      <c r="AW25" s="371">
        <v>90</v>
      </c>
      <c r="AX25" s="381">
        <v>44</v>
      </c>
      <c r="AY25" s="381">
        <v>-32</v>
      </c>
      <c r="AZ25" s="423">
        <v>-165</v>
      </c>
      <c r="BA25" s="423">
        <v>82</v>
      </c>
      <c r="BB25" s="423">
        <f>+BA25+AZ25+AY25+AX25</f>
        <v>-71</v>
      </c>
      <c r="BC25" s="423">
        <v>-29</v>
      </c>
      <c r="BD25" s="423">
        <v>-18</v>
      </c>
      <c r="BE25" s="428">
        <v>-10</v>
      </c>
    </row>
    <row r="26" spans="1:57" s="17" customFormat="1" ht="12" customHeight="1">
      <c r="A26" s="576" t="s">
        <v>89</v>
      </c>
      <c r="B26" s="15"/>
      <c r="C26" s="38">
        <v>-6</v>
      </c>
      <c r="D26" s="16">
        <f>-15-C26</f>
        <v>-9</v>
      </c>
      <c r="E26" s="16">
        <v>-81</v>
      </c>
      <c r="F26" s="16">
        <f>G26+96</f>
        <v>-87</v>
      </c>
      <c r="G26" s="16">
        <v>-183</v>
      </c>
      <c r="H26" s="15"/>
      <c r="I26" s="38">
        <v>-85</v>
      </c>
      <c r="J26" s="16">
        <f>-42-I26</f>
        <v>43</v>
      </c>
      <c r="K26" s="16">
        <v>-46</v>
      </c>
      <c r="L26" s="16">
        <v>-70</v>
      </c>
      <c r="M26" s="16">
        <f>SUM(I26:L26)</f>
        <v>-158</v>
      </c>
      <c r="N26" s="113"/>
      <c r="O26" s="38">
        <v>235</v>
      </c>
      <c r="P26" s="16">
        <f>-141-O26</f>
        <v>-376</v>
      </c>
      <c r="Q26" s="16">
        <v>199</v>
      </c>
      <c r="R26" s="16">
        <v>-599</v>
      </c>
      <c r="S26" s="16">
        <v>-541</v>
      </c>
      <c r="U26" s="38">
        <f>U27+U28+U29+U30+U31</f>
        <v>309</v>
      </c>
      <c r="V26" s="16">
        <f>V27+V28+V29+V30+V31</f>
        <v>382</v>
      </c>
      <c r="W26" s="16">
        <f>W27+W28+W29+W30+W31</f>
        <v>53</v>
      </c>
      <c r="X26" s="16">
        <v>289</v>
      </c>
      <c r="Y26" s="16">
        <f t="shared" si="0"/>
        <v>1033</v>
      </c>
      <c r="Z26" s="53"/>
      <c r="AA26" s="38">
        <f>AA27+AA28+AA29+AA30+AA31</f>
        <v>124</v>
      </c>
      <c r="AB26" s="16">
        <f>AB27+AB28+AB29+AB30+AB31</f>
        <v>-720</v>
      </c>
      <c r="AC26" s="16">
        <f>AC27+AC28+AC29+AC30+AC31</f>
        <v>97</v>
      </c>
      <c r="AD26" s="16">
        <f>AD27+AD28+AD29+AD30+AD31</f>
        <v>-275</v>
      </c>
      <c r="AE26" s="16">
        <f>AE27+AE28+AE29+AE30+AE31</f>
        <v>-774</v>
      </c>
      <c r="AG26" s="38">
        <f>AG27+AG28+AG29+AG30+AG31</f>
        <v>-173</v>
      </c>
      <c r="AH26" s="148">
        <f>AH27+AH28+AH29+AH30+AH31</f>
        <v>100</v>
      </c>
      <c r="AI26" s="148">
        <f>AI27+AI28+AI29+AI30+AI31</f>
        <v>-548</v>
      </c>
      <c r="AJ26" s="148">
        <f>AJ27+AJ28+AJ29+AJ30+AJ31</f>
        <v>117</v>
      </c>
      <c r="AK26" s="16">
        <v>-504</v>
      </c>
      <c r="AL26" s="32"/>
      <c r="AM26" s="148">
        <v>-496</v>
      </c>
      <c r="AN26" s="148">
        <v>345</v>
      </c>
      <c r="AO26" s="148">
        <f>+AO27+AO28+AO29+AO30+AO31</f>
        <v>89</v>
      </c>
      <c r="AP26" s="16">
        <f>AP27+AP28+AP29+AP30+AP31</f>
        <v>62</v>
      </c>
      <c r="AQ26" s="16">
        <f>AQ27+AQ28+AQ29+AQ30+AQ31</f>
        <v>0</v>
      </c>
      <c r="AR26" s="53"/>
      <c r="AS26" s="282">
        <f>AS27+AS28+AS29+AS30++AS31</f>
        <v>-302</v>
      </c>
      <c r="AT26" s="287">
        <f>AT27+AT28+AT29+AT30++AT31</f>
        <v>93</v>
      </c>
      <c r="AU26" s="372">
        <f aca="true" t="shared" si="3" ref="AU26:AZ26">AU27+AU28+AU29+AU30+AU31</f>
        <v>-168</v>
      </c>
      <c r="AV26" s="372">
        <f t="shared" si="3"/>
        <v>-99</v>
      </c>
      <c r="AW26" s="372">
        <f t="shared" si="3"/>
        <v>-476</v>
      </c>
      <c r="AX26" s="382">
        <f t="shared" si="3"/>
        <v>-105</v>
      </c>
      <c r="AY26" s="424">
        <f>AY27+AY28+AY29+AY30+AY31</f>
        <v>-256</v>
      </c>
      <c r="AZ26" s="424">
        <f t="shared" si="3"/>
        <v>-355</v>
      </c>
      <c r="BA26" s="424">
        <f>BA27+BA28+BA29+BA30+BA31</f>
        <v>447</v>
      </c>
      <c r="BB26" s="424">
        <f>BB27+BB28+BB29+BB30+BB31</f>
        <v>-269</v>
      </c>
      <c r="BC26" s="424">
        <v>56</v>
      </c>
      <c r="BD26" s="424">
        <f>+BD27+BD28+BD29+BD30+BD31</f>
        <v>117</v>
      </c>
      <c r="BE26" s="427">
        <f>+BE27+BE28+BE29+BE30+BE31</f>
        <v>-298</v>
      </c>
    </row>
    <row r="27" spans="1:57" s="20" customFormat="1" ht="12" customHeight="1">
      <c r="A27" s="579" t="s">
        <v>92</v>
      </c>
      <c r="B27" s="18"/>
      <c r="C27" s="115">
        <v>5</v>
      </c>
      <c r="D27" s="116">
        <v>3</v>
      </c>
      <c r="E27" s="19">
        <v>-69</v>
      </c>
      <c r="F27" s="19">
        <v>-63</v>
      </c>
      <c r="G27" s="19">
        <v>-124</v>
      </c>
      <c r="H27" s="18"/>
      <c r="I27" s="41">
        <v>-62</v>
      </c>
      <c r="J27" s="19">
        <v>74</v>
      </c>
      <c r="K27" s="19">
        <v>3</v>
      </c>
      <c r="L27" s="19">
        <v>-44</v>
      </c>
      <c r="M27" s="19">
        <v>-29</v>
      </c>
      <c r="N27" s="114"/>
      <c r="O27" s="41">
        <v>276</v>
      </c>
      <c r="P27" s="19">
        <v>-344</v>
      </c>
      <c r="Q27" s="19">
        <v>246</v>
      </c>
      <c r="R27" s="19">
        <v>-576</v>
      </c>
      <c r="S27" s="19">
        <f>SUM(O27:R27)</f>
        <v>-398</v>
      </c>
      <c r="U27" s="41">
        <v>369</v>
      </c>
      <c r="V27" s="19">
        <v>443</v>
      </c>
      <c r="W27" s="19">
        <v>101</v>
      </c>
      <c r="X27" s="19">
        <v>334</v>
      </c>
      <c r="Y27" s="19">
        <f t="shared" si="0"/>
        <v>1247</v>
      </c>
      <c r="Z27" s="54"/>
      <c r="AA27" s="41">
        <v>150</v>
      </c>
      <c r="AB27" s="19">
        <v>-681</v>
      </c>
      <c r="AC27" s="19">
        <v>145</v>
      </c>
      <c r="AD27" s="19">
        <v>-206</v>
      </c>
      <c r="AE27" s="19">
        <v>-592</v>
      </c>
      <c r="AG27" s="41">
        <v>-107</v>
      </c>
      <c r="AH27" s="120">
        <f>165</f>
        <v>165</v>
      </c>
      <c r="AI27" s="120">
        <v>-532</v>
      </c>
      <c r="AJ27" s="120">
        <v>265</v>
      </c>
      <c r="AK27" s="19">
        <v>-209</v>
      </c>
      <c r="AL27" s="33"/>
      <c r="AM27" s="120">
        <v>-437</v>
      </c>
      <c r="AN27" s="120">
        <v>401</v>
      </c>
      <c r="AO27" s="120">
        <v>117</v>
      </c>
      <c r="AP27" s="19">
        <f>AQ27-AM27-AN27-AO27</f>
        <v>109</v>
      </c>
      <c r="AQ27" s="19">
        <v>190</v>
      </c>
      <c r="AR27" s="54"/>
      <c r="AS27" s="281">
        <v>-273</v>
      </c>
      <c r="AT27" s="281">
        <v>135</v>
      </c>
      <c r="AU27" s="281">
        <v>-146</v>
      </c>
      <c r="AV27" s="371">
        <v>-54</v>
      </c>
      <c r="AW27" s="371">
        <v>-338</v>
      </c>
      <c r="AX27" s="381">
        <v>-78</v>
      </c>
      <c r="AY27" s="381">
        <v>-223</v>
      </c>
      <c r="AZ27" s="423">
        <v>-315</v>
      </c>
      <c r="BA27" s="423">
        <v>436</v>
      </c>
      <c r="BB27" s="423">
        <f>+BA27+AZ27+AY27+AX27</f>
        <v>-180</v>
      </c>
      <c r="BC27" s="423">
        <v>94</v>
      </c>
      <c r="BD27" s="423">
        <v>141</v>
      </c>
      <c r="BE27" s="428">
        <v>-184</v>
      </c>
    </row>
    <row r="28" spans="1:57" s="20" customFormat="1" ht="12" customHeight="1">
      <c r="A28" s="579" t="s">
        <v>91</v>
      </c>
      <c r="B28" s="18"/>
      <c r="C28" s="41">
        <v>-2</v>
      </c>
      <c r="D28" s="19">
        <v>-1</v>
      </c>
      <c r="E28" s="19">
        <v>-2</v>
      </c>
      <c r="F28" s="19">
        <v>-3</v>
      </c>
      <c r="G28" s="19">
        <v>-8</v>
      </c>
      <c r="H28" s="18"/>
      <c r="I28" s="41">
        <v>-3</v>
      </c>
      <c r="J28" s="19">
        <v>-8</v>
      </c>
      <c r="K28" s="19">
        <v>-9</v>
      </c>
      <c r="L28" s="19">
        <v>-11</v>
      </c>
      <c r="M28" s="19">
        <v>-31</v>
      </c>
      <c r="N28" s="114"/>
      <c r="O28" s="41">
        <v>-12</v>
      </c>
      <c r="P28" s="19">
        <v>-15</v>
      </c>
      <c r="Q28" s="19">
        <v>-16</v>
      </c>
      <c r="R28" s="19">
        <v>-33</v>
      </c>
      <c r="S28" s="19">
        <f>SUM(O28:R28)</f>
        <v>-76</v>
      </c>
      <c r="U28" s="41">
        <v>-29</v>
      </c>
      <c r="V28" s="19">
        <v>-29</v>
      </c>
      <c r="W28" s="19">
        <v>-28</v>
      </c>
      <c r="X28" s="19">
        <v>-27</v>
      </c>
      <c r="Y28" s="19">
        <f t="shared" si="0"/>
        <v>-113</v>
      </c>
      <c r="Z28" s="54"/>
      <c r="AA28" s="41">
        <v>-24</v>
      </c>
      <c r="AB28" s="19">
        <v>-34</v>
      </c>
      <c r="AC28" s="19">
        <v>-32</v>
      </c>
      <c r="AD28" s="19">
        <v>-37</v>
      </c>
      <c r="AE28" s="19">
        <v>-127</v>
      </c>
      <c r="AG28" s="41">
        <v>-37</v>
      </c>
      <c r="AH28" s="120">
        <v>-43</v>
      </c>
      <c r="AI28" s="120">
        <v>5</v>
      </c>
      <c r="AJ28" s="120">
        <v>-108</v>
      </c>
      <c r="AK28" s="19">
        <v>-183</v>
      </c>
      <c r="AL28" s="33"/>
      <c r="AM28" s="120">
        <v>-41</v>
      </c>
      <c r="AN28" s="120">
        <v>-48</v>
      </c>
      <c r="AO28" s="120">
        <v>-22</v>
      </c>
      <c r="AP28" s="19">
        <f>AQ28-AM28-AN28-AO28</f>
        <v>-37</v>
      </c>
      <c r="AQ28" s="19">
        <v>-148</v>
      </c>
      <c r="AR28" s="54"/>
      <c r="AS28" s="281">
        <v>-18</v>
      </c>
      <c r="AT28" s="281">
        <v>-30</v>
      </c>
      <c r="AU28" s="281">
        <v>-14</v>
      </c>
      <c r="AV28" s="371">
        <v>-30</v>
      </c>
      <c r="AW28" s="371">
        <v>-92</v>
      </c>
      <c r="AX28" s="381">
        <v>-15</v>
      </c>
      <c r="AY28" s="381">
        <v>-20</v>
      </c>
      <c r="AZ28" s="423">
        <v>-30</v>
      </c>
      <c r="BA28" s="423">
        <f>BB28-AZ28-AY28-AX28</f>
        <v>17</v>
      </c>
      <c r="BB28" s="423">
        <v>-48</v>
      </c>
      <c r="BC28" s="423">
        <v>-28</v>
      </c>
      <c r="BD28" s="423">
        <v>-7</v>
      </c>
      <c r="BE28" s="428">
        <v>-57</v>
      </c>
    </row>
    <row r="29" spans="1:57" s="20" customFormat="1" ht="12" customHeight="1">
      <c r="A29" s="579" t="s">
        <v>249</v>
      </c>
      <c r="B29" s="117"/>
      <c r="C29" s="118" t="s">
        <v>15</v>
      </c>
      <c r="D29" s="119">
        <v>-1</v>
      </c>
      <c r="E29" s="119" t="s">
        <v>15</v>
      </c>
      <c r="F29" s="119">
        <v>-13</v>
      </c>
      <c r="G29" s="120">
        <v>-14</v>
      </c>
      <c r="H29" s="18"/>
      <c r="I29" s="41">
        <v>-11</v>
      </c>
      <c r="J29" s="19">
        <v>-11</v>
      </c>
      <c r="K29" s="19">
        <v>-19</v>
      </c>
      <c r="L29" s="19">
        <v>-7</v>
      </c>
      <c r="M29" s="19">
        <v>-48</v>
      </c>
      <c r="N29" s="114"/>
      <c r="O29" s="41">
        <v>-10</v>
      </c>
      <c r="P29" s="19">
        <v>-7</v>
      </c>
      <c r="Q29" s="19">
        <v>-20</v>
      </c>
      <c r="R29" s="19">
        <v>-8</v>
      </c>
      <c r="S29" s="19">
        <f>SUM(O29:R29)</f>
        <v>-45</v>
      </c>
      <c r="U29" s="41">
        <v>-7</v>
      </c>
      <c r="V29" s="19">
        <v>-7</v>
      </c>
      <c r="W29" s="19">
        <v>-6</v>
      </c>
      <c r="X29" s="19">
        <v>-8</v>
      </c>
      <c r="Y29" s="19">
        <f t="shared" si="0"/>
        <v>-28</v>
      </c>
      <c r="Z29" s="54"/>
      <c r="AA29" s="41">
        <v>-6</v>
      </c>
      <c r="AB29" s="19">
        <v>-6</v>
      </c>
      <c r="AC29" s="19">
        <v>-6</v>
      </c>
      <c r="AD29" s="19">
        <v>-5</v>
      </c>
      <c r="AE29" s="19">
        <v>-23</v>
      </c>
      <c r="AG29" s="41">
        <v>-6</v>
      </c>
      <c r="AH29" s="120">
        <v>-7</v>
      </c>
      <c r="AI29" s="120">
        <v>-10</v>
      </c>
      <c r="AJ29" s="120">
        <v>-26</v>
      </c>
      <c r="AK29" s="19">
        <v>-49</v>
      </c>
      <c r="AL29" s="33"/>
      <c r="AM29" s="120">
        <v>-6</v>
      </c>
      <c r="AN29" s="120">
        <v>-10</v>
      </c>
      <c r="AO29" s="120">
        <v>-5</v>
      </c>
      <c r="AP29" s="19">
        <f>AQ29-AM29-AN29-AO29</f>
        <v>-6</v>
      </c>
      <c r="AQ29" s="19">
        <v>-27</v>
      </c>
      <c r="AR29" s="54"/>
      <c r="AS29" s="281">
        <v>-9</v>
      </c>
      <c r="AT29" s="281">
        <v>-6</v>
      </c>
      <c r="AU29" s="281">
        <v>-6</v>
      </c>
      <c r="AV29" s="371">
        <v>-7</v>
      </c>
      <c r="AW29" s="371">
        <v>-28</v>
      </c>
      <c r="AX29" s="381">
        <v>-10</v>
      </c>
      <c r="AY29" s="381">
        <v>-7</v>
      </c>
      <c r="AZ29" s="423">
        <v>-7</v>
      </c>
      <c r="BA29" s="423">
        <f>BB29-AZ29-AY29-AX29</f>
        <v>-6</v>
      </c>
      <c r="BB29" s="423">
        <v>-30</v>
      </c>
      <c r="BC29" s="423">
        <v>-7</v>
      </c>
      <c r="BD29" s="423">
        <v>-6</v>
      </c>
      <c r="BE29" s="428">
        <v>-7</v>
      </c>
    </row>
    <row r="30" spans="1:57" s="20" customFormat="1" ht="12" customHeight="1">
      <c r="A30" s="509" t="s">
        <v>87</v>
      </c>
      <c r="B30" s="18"/>
      <c r="C30" s="115" t="s">
        <v>15</v>
      </c>
      <c r="D30" s="116" t="s">
        <v>15</v>
      </c>
      <c r="E30" s="116" t="s">
        <v>15</v>
      </c>
      <c r="F30" s="116" t="s">
        <v>15</v>
      </c>
      <c r="G30" s="19">
        <v>0</v>
      </c>
      <c r="H30" s="18"/>
      <c r="I30" s="115">
        <v>0</v>
      </c>
      <c r="J30" s="19">
        <v>-2</v>
      </c>
      <c r="K30" s="19">
        <v>-11</v>
      </c>
      <c r="L30" s="19">
        <v>1</v>
      </c>
      <c r="M30" s="19">
        <v>-12</v>
      </c>
      <c r="N30" s="114"/>
      <c r="O30" s="41">
        <v>-8</v>
      </c>
      <c r="P30" s="19">
        <v>-2</v>
      </c>
      <c r="Q30" s="19">
        <v>-1</v>
      </c>
      <c r="R30" s="19">
        <v>28</v>
      </c>
      <c r="S30" s="19">
        <f>SUM(O30:R30)</f>
        <v>17</v>
      </c>
      <c r="U30" s="41">
        <v>-13</v>
      </c>
      <c r="V30" s="19">
        <v>-14</v>
      </c>
      <c r="W30" s="19">
        <v>-3</v>
      </c>
      <c r="X30" s="19">
        <v>0</v>
      </c>
      <c r="Y30" s="19">
        <f t="shared" si="0"/>
        <v>-30</v>
      </c>
      <c r="Z30" s="54"/>
      <c r="AA30" s="41">
        <v>15</v>
      </c>
      <c r="AB30" s="19">
        <v>11</v>
      </c>
      <c r="AC30" s="19">
        <v>2</v>
      </c>
      <c r="AD30" s="19">
        <v>-17</v>
      </c>
      <c r="AE30" s="19">
        <v>11</v>
      </c>
      <c r="AG30" s="41">
        <v>-12</v>
      </c>
      <c r="AH30" s="120">
        <f>2-7</f>
        <v>-5</v>
      </c>
      <c r="AI30" s="120">
        <v>-1</v>
      </c>
      <c r="AJ30" s="120">
        <f>-39-2</f>
        <v>-41</v>
      </c>
      <c r="AK30" s="19">
        <v>-59</v>
      </c>
      <c r="AL30" s="33"/>
      <c r="AM30" s="120">
        <v>-3</v>
      </c>
      <c r="AN30" s="120">
        <v>-3</v>
      </c>
      <c r="AO30" s="120">
        <v>1</v>
      </c>
      <c r="AP30" s="19">
        <f>AQ30-AM30-AN30-AO30</f>
        <v>-2</v>
      </c>
      <c r="AQ30" s="19">
        <v>-7</v>
      </c>
      <c r="AR30" s="54"/>
      <c r="AS30" s="281">
        <v>-1</v>
      </c>
      <c r="AT30" s="281">
        <v>-3</v>
      </c>
      <c r="AU30" s="281">
        <v>0</v>
      </c>
      <c r="AV30" s="371">
        <v>-6</v>
      </c>
      <c r="AW30" s="371">
        <v>-10</v>
      </c>
      <c r="AX30" s="381">
        <v>0</v>
      </c>
      <c r="AY30" s="381">
        <v>-4</v>
      </c>
      <c r="AZ30" s="423">
        <v>0</v>
      </c>
      <c r="BA30" s="423">
        <v>-15</v>
      </c>
      <c r="BB30" s="423">
        <f>+BA30+AZ30+AY30+AX30</f>
        <v>-19</v>
      </c>
      <c r="BC30" s="423">
        <v>0</v>
      </c>
      <c r="BD30" s="423">
        <v>-6</v>
      </c>
      <c r="BE30" s="428">
        <v>0</v>
      </c>
    </row>
    <row r="31" spans="1:57" s="20" customFormat="1" ht="12" customHeight="1">
      <c r="A31" s="579" t="s">
        <v>250</v>
      </c>
      <c r="B31" s="18"/>
      <c r="C31" s="41">
        <v>-9</v>
      </c>
      <c r="D31" s="19">
        <v>-10</v>
      </c>
      <c r="E31" s="19">
        <v>-10</v>
      </c>
      <c r="F31" s="19">
        <v>-8</v>
      </c>
      <c r="G31" s="19">
        <v>-37</v>
      </c>
      <c r="H31" s="18"/>
      <c r="I31" s="41">
        <v>-9</v>
      </c>
      <c r="J31" s="19">
        <v>-10</v>
      </c>
      <c r="K31" s="19">
        <v>-10</v>
      </c>
      <c r="L31" s="19">
        <v>-9</v>
      </c>
      <c r="M31" s="19">
        <v>-38</v>
      </c>
      <c r="N31" s="114"/>
      <c r="O31" s="41">
        <v>-11</v>
      </c>
      <c r="P31" s="19">
        <v>-8</v>
      </c>
      <c r="Q31" s="19">
        <v>-10</v>
      </c>
      <c r="R31" s="19">
        <v>-10</v>
      </c>
      <c r="S31" s="19">
        <f>SUM(O31:R31)</f>
        <v>-39</v>
      </c>
      <c r="U31" s="41">
        <v>-11</v>
      </c>
      <c r="V31" s="19">
        <v>-11</v>
      </c>
      <c r="W31" s="19">
        <v>-11</v>
      </c>
      <c r="X31" s="19">
        <v>-10</v>
      </c>
      <c r="Y31" s="19">
        <f t="shared" si="0"/>
        <v>-43</v>
      </c>
      <c r="Z31" s="54"/>
      <c r="AA31" s="41">
        <v>-11</v>
      </c>
      <c r="AB31" s="19">
        <v>-10</v>
      </c>
      <c r="AC31" s="19">
        <v>-12</v>
      </c>
      <c r="AD31" s="19">
        <v>-10</v>
      </c>
      <c r="AE31" s="19">
        <v>-43</v>
      </c>
      <c r="AG31" s="41">
        <v>-11</v>
      </c>
      <c r="AH31" s="120">
        <f>-10</f>
        <v>-10</v>
      </c>
      <c r="AI31" s="120">
        <f>-10</f>
        <v>-10</v>
      </c>
      <c r="AJ31" s="120">
        <f>35-10+2</f>
        <v>27</v>
      </c>
      <c r="AK31" s="19">
        <v>-4</v>
      </c>
      <c r="AL31" s="33"/>
      <c r="AM31" s="120">
        <v>-9</v>
      </c>
      <c r="AN31" s="120">
        <v>5</v>
      </c>
      <c r="AO31" s="120">
        <v>-2</v>
      </c>
      <c r="AP31" s="19">
        <f>AQ31-AM31-AN31-AO31</f>
        <v>-2</v>
      </c>
      <c r="AQ31" s="19">
        <v>-8</v>
      </c>
      <c r="AR31" s="54"/>
      <c r="AS31" s="281">
        <v>-1</v>
      </c>
      <c r="AT31" s="281">
        <v>-3</v>
      </c>
      <c r="AU31" s="281">
        <v>-2</v>
      </c>
      <c r="AV31" s="371">
        <v>-2</v>
      </c>
      <c r="AW31" s="371">
        <v>-8</v>
      </c>
      <c r="AX31" s="381">
        <v>-2</v>
      </c>
      <c r="AY31" s="381">
        <v>-2</v>
      </c>
      <c r="AZ31" s="423">
        <v>-3</v>
      </c>
      <c r="BA31" s="423">
        <v>15</v>
      </c>
      <c r="BB31" s="423">
        <f>+BA31+AZ31+AY31+AX31</f>
        <v>8</v>
      </c>
      <c r="BC31" s="423">
        <v>-3</v>
      </c>
      <c r="BD31" s="423">
        <v>-5</v>
      </c>
      <c r="BE31" s="428">
        <v>-50</v>
      </c>
    </row>
    <row r="32" spans="1:57" s="20" customFormat="1" ht="12" customHeight="1">
      <c r="A32" s="577" t="s">
        <v>94</v>
      </c>
      <c r="B32" s="72"/>
      <c r="C32" s="38">
        <f>C17+C18+C26</f>
        <v>712</v>
      </c>
      <c r="D32" s="16">
        <f>D17+D18+D26</f>
        <v>819</v>
      </c>
      <c r="E32" s="16">
        <f>E17+E18+E26</f>
        <v>872</v>
      </c>
      <c r="F32" s="16">
        <f>F17+F18+F26</f>
        <v>959</v>
      </c>
      <c r="G32" s="16">
        <f>G17+G18+G26</f>
        <v>3362</v>
      </c>
      <c r="H32" s="72"/>
      <c r="I32" s="38">
        <f>I17+I18+I26</f>
        <v>705</v>
      </c>
      <c r="J32" s="16">
        <f>J17+J18+J26</f>
        <v>1176</v>
      </c>
      <c r="K32" s="16">
        <f>K17+K18+K26</f>
        <v>521</v>
      </c>
      <c r="L32" s="16">
        <f>L17+L18+L26</f>
        <v>-4340</v>
      </c>
      <c r="M32" s="16">
        <f>M17+M18+M26</f>
        <v>-1938</v>
      </c>
      <c r="N32" s="113"/>
      <c r="O32" s="38">
        <f>O17+O18+O26</f>
        <v>532</v>
      </c>
      <c r="P32" s="16">
        <f>P17+P18+P26</f>
        <v>500</v>
      </c>
      <c r="Q32" s="16">
        <f>Q17+Q18+Q26</f>
        <v>800</v>
      </c>
      <c r="R32" s="16">
        <f>R17+R18+R26</f>
        <v>-5207</v>
      </c>
      <c r="S32" s="16">
        <f>S26+S18+S17</f>
        <v>-3375</v>
      </c>
      <c r="U32" s="38">
        <f>U17+U18+U26</f>
        <v>1104</v>
      </c>
      <c r="V32" s="16">
        <f>V17+V18+V26</f>
        <v>725</v>
      </c>
      <c r="W32" s="16">
        <f>W17+W18+W26</f>
        <v>673</v>
      </c>
      <c r="X32" s="16">
        <v>-348</v>
      </c>
      <c r="Y32" s="16">
        <f t="shared" si="0"/>
        <v>2154</v>
      </c>
      <c r="Z32" s="53"/>
      <c r="AA32" s="38">
        <f>AA17+AA18+AA26</f>
        <v>727</v>
      </c>
      <c r="AB32" s="16">
        <f>AB17+AB18+AB26</f>
        <v>551</v>
      </c>
      <c r="AC32" s="16">
        <f>AC17+AC18+AC26</f>
        <v>650</v>
      </c>
      <c r="AD32" s="16">
        <f>AD17+AD18+AD26</f>
        <v>744</v>
      </c>
      <c r="AE32" s="16">
        <f>AE17+AE18+AE26</f>
        <v>2672</v>
      </c>
      <c r="AG32" s="38">
        <f>AG17+AG18+AG26</f>
        <v>931</v>
      </c>
      <c r="AH32" s="148">
        <f>AH17+AH18+AH26</f>
        <v>781</v>
      </c>
      <c r="AI32" s="148">
        <f>AI17+AI18+AI26</f>
        <v>658</v>
      </c>
      <c r="AJ32" s="148">
        <f>AJ17+AJ18+AJ26</f>
        <v>-443</v>
      </c>
      <c r="AK32" s="16">
        <v>1927</v>
      </c>
      <c r="AL32" s="33"/>
      <c r="AM32" s="172">
        <v>608</v>
      </c>
      <c r="AN32" s="172">
        <v>533</v>
      </c>
      <c r="AO32" s="172">
        <f>+AO17+AO18+AO26</f>
        <v>686</v>
      </c>
      <c r="AP32" s="266">
        <f>AP17+AP18+AP26</f>
        <v>940</v>
      </c>
      <c r="AQ32" s="266">
        <f>AQ17+AQ18+AQ26</f>
        <v>2767</v>
      </c>
      <c r="AR32" s="276"/>
      <c r="AS32" s="287">
        <f aca="true" t="shared" si="4" ref="AS32:AY32">AS17+AS18+AS26</f>
        <v>1425</v>
      </c>
      <c r="AT32" s="287">
        <f t="shared" si="4"/>
        <v>3653</v>
      </c>
      <c r="AU32" s="287">
        <f t="shared" si="4"/>
        <v>992</v>
      </c>
      <c r="AV32" s="287">
        <f t="shared" si="4"/>
        <v>646</v>
      </c>
      <c r="AW32" s="287">
        <f t="shared" si="4"/>
        <v>6716</v>
      </c>
      <c r="AX32" s="387">
        <f t="shared" si="4"/>
        <v>1838</v>
      </c>
      <c r="AY32" s="426">
        <f t="shared" si="4"/>
        <v>1938</v>
      </c>
      <c r="AZ32" s="426">
        <f>AZ17+AZ18+AZ26</f>
        <v>1081</v>
      </c>
      <c r="BA32" s="426">
        <f>BA17+BA18+BA26</f>
        <v>139</v>
      </c>
      <c r="BB32" s="426">
        <f>BB17+BB18+BB26</f>
        <v>4996</v>
      </c>
      <c r="BC32" s="426">
        <v>869</v>
      </c>
      <c r="BD32" s="426">
        <v>934</v>
      </c>
      <c r="BE32" s="427">
        <f>+BE18+BE26+BE17</f>
        <v>837</v>
      </c>
    </row>
    <row r="33" spans="1:57" s="20" customFormat="1" ht="12" customHeight="1">
      <c r="A33" s="582" t="s">
        <v>95</v>
      </c>
      <c r="B33" s="18"/>
      <c r="C33" s="41">
        <v>-205</v>
      </c>
      <c r="D33" s="19">
        <v>-207</v>
      </c>
      <c r="E33" s="19">
        <v>-243</v>
      </c>
      <c r="F33" s="19">
        <v>-293</v>
      </c>
      <c r="G33" s="19">
        <v>-948</v>
      </c>
      <c r="H33" s="18"/>
      <c r="I33" s="41">
        <v>-208</v>
      </c>
      <c r="J33" s="19">
        <v>-352</v>
      </c>
      <c r="K33" s="19">
        <v>-167</v>
      </c>
      <c r="L33" s="19">
        <v>-123</v>
      </c>
      <c r="M33" s="19">
        <v>-850</v>
      </c>
      <c r="N33" s="114"/>
      <c r="O33" s="41">
        <v>-162</v>
      </c>
      <c r="P33" s="19">
        <v>-202</v>
      </c>
      <c r="Q33" s="19">
        <v>-186</v>
      </c>
      <c r="R33" s="19">
        <v>-160</v>
      </c>
      <c r="S33" s="19">
        <v>-710</v>
      </c>
      <c r="U33" s="41">
        <v>-299</v>
      </c>
      <c r="V33" s="19">
        <v>-220</v>
      </c>
      <c r="W33" s="19">
        <v>-133</v>
      </c>
      <c r="X33" s="19">
        <v>-179</v>
      </c>
      <c r="Y33" s="19">
        <f t="shared" si="0"/>
        <v>-831</v>
      </c>
      <c r="Z33" s="54"/>
      <c r="AA33" s="41">
        <v>-197</v>
      </c>
      <c r="AB33" s="19">
        <v>-94</v>
      </c>
      <c r="AC33" s="19">
        <v>-207</v>
      </c>
      <c r="AD33" s="19">
        <v>-149</v>
      </c>
      <c r="AE33" s="19">
        <v>-647</v>
      </c>
      <c r="AG33" s="41">
        <v>-236</v>
      </c>
      <c r="AH33" s="120">
        <v>-249</v>
      </c>
      <c r="AI33" s="120">
        <v>-222</v>
      </c>
      <c r="AJ33" s="120">
        <v>44</v>
      </c>
      <c r="AK33" s="19">
        <v>-663</v>
      </c>
      <c r="AL33" s="33"/>
      <c r="AM33" s="120">
        <v>-209</v>
      </c>
      <c r="AN33" s="120">
        <v>-185</v>
      </c>
      <c r="AO33" s="120">
        <v>-277</v>
      </c>
      <c r="AP33" s="19">
        <v>-317</v>
      </c>
      <c r="AQ33" s="19">
        <v>-988</v>
      </c>
      <c r="AR33" s="54"/>
      <c r="AS33" s="281">
        <v>-450</v>
      </c>
      <c r="AT33" s="281">
        <v>-402</v>
      </c>
      <c r="AU33" s="281">
        <v>-366</v>
      </c>
      <c r="AV33" s="371">
        <v>-329</v>
      </c>
      <c r="AW33" s="371">
        <v>-1547</v>
      </c>
      <c r="AX33" s="381">
        <v>-513</v>
      </c>
      <c r="AY33" s="381">
        <v>-455</v>
      </c>
      <c r="AZ33" s="423">
        <v>-351</v>
      </c>
      <c r="BA33" s="423">
        <v>-144</v>
      </c>
      <c r="BB33" s="423">
        <f>+BA33+AZ33+AY33+AX33</f>
        <v>-1463</v>
      </c>
      <c r="BC33" s="423">
        <v>-387</v>
      </c>
      <c r="BD33" s="423">
        <v>-209</v>
      </c>
      <c r="BE33" s="428">
        <v>-307</v>
      </c>
    </row>
    <row r="34" spans="1:57" s="20" customFormat="1" ht="12" customHeight="1">
      <c r="A34" s="577" t="s">
        <v>96</v>
      </c>
      <c r="B34" s="21"/>
      <c r="C34" s="38">
        <f>C32+C33</f>
        <v>507</v>
      </c>
      <c r="D34" s="16">
        <f>D32+D33</f>
        <v>612</v>
      </c>
      <c r="E34" s="16">
        <f>E32+E33</f>
        <v>629</v>
      </c>
      <c r="F34" s="16">
        <f>F32+F33</f>
        <v>666</v>
      </c>
      <c r="G34" s="16">
        <f>G32+G33</f>
        <v>2414</v>
      </c>
      <c r="H34" s="21"/>
      <c r="I34" s="38">
        <f>I32+I33</f>
        <v>497</v>
      </c>
      <c r="J34" s="16">
        <f>J32+J33</f>
        <v>824</v>
      </c>
      <c r="K34" s="16">
        <f>K32+K33</f>
        <v>354</v>
      </c>
      <c r="L34" s="16">
        <f>L32+L33</f>
        <v>-4463</v>
      </c>
      <c r="M34" s="16">
        <f>M32+M33</f>
        <v>-2788</v>
      </c>
      <c r="N34" s="113"/>
      <c r="O34" s="38">
        <f>O32+O33</f>
        <v>370</v>
      </c>
      <c r="P34" s="16">
        <f>P32+P33</f>
        <v>298</v>
      </c>
      <c r="Q34" s="16">
        <f>Q32+Q33</f>
        <v>614</v>
      </c>
      <c r="R34" s="16">
        <f>R32+R33</f>
        <v>-5367</v>
      </c>
      <c r="S34" s="16">
        <f>S32+S33</f>
        <v>-4085</v>
      </c>
      <c r="U34" s="38">
        <f>U32+U33</f>
        <v>805</v>
      </c>
      <c r="V34" s="16">
        <f>V32+V33</f>
        <v>505</v>
      </c>
      <c r="W34" s="16">
        <f>W32+W33</f>
        <v>540</v>
      </c>
      <c r="X34" s="16">
        <v>-527</v>
      </c>
      <c r="Y34" s="16">
        <f t="shared" si="0"/>
        <v>1323</v>
      </c>
      <c r="Z34" s="53"/>
      <c r="AA34" s="38">
        <f>AA32+AA33</f>
        <v>530</v>
      </c>
      <c r="AB34" s="16">
        <f>AB32+AB33</f>
        <v>457</v>
      </c>
      <c r="AC34" s="16">
        <f>AC32+AC33</f>
        <v>443</v>
      </c>
      <c r="AD34" s="16">
        <f>AD32+AD33</f>
        <v>595</v>
      </c>
      <c r="AE34" s="16">
        <f>AE32+AE33</f>
        <v>2025</v>
      </c>
      <c r="AG34" s="38">
        <f>AG32+AG33</f>
        <v>695</v>
      </c>
      <c r="AH34" s="148">
        <f>AH32+AH33</f>
        <v>532</v>
      </c>
      <c r="AI34" s="148">
        <f>AI32+AI33</f>
        <v>436</v>
      </c>
      <c r="AJ34" s="148">
        <f>AJ32+AJ33</f>
        <v>-399</v>
      </c>
      <c r="AK34" s="16">
        <v>1264</v>
      </c>
      <c r="AL34" s="33"/>
      <c r="AM34" s="172">
        <v>399</v>
      </c>
      <c r="AN34" s="172">
        <v>348</v>
      </c>
      <c r="AO34" s="172">
        <f>+AO32+AO33</f>
        <v>409</v>
      </c>
      <c r="AP34" s="266">
        <f>AP32+AP33</f>
        <v>623</v>
      </c>
      <c r="AQ34" s="266">
        <f>AQ32+AQ33</f>
        <v>1779</v>
      </c>
      <c r="AR34" s="276"/>
      <c r="AS34" s="287">
        <f aca="true" t="shared" si="5" ref="AS34:BB34">AS32+AS33</f>
        <v>975</v>
      </c>
      <c r="AT34" s="287">
        <f t="shared" si="5"/>
        <v>3251</v>
      </c>
      <c r="AU34" s="287">
        <f t="shared" si="5"/>
        <v>626</v>
      </c>
      <c r="AV34" s="287">
        <f t="shared" si="5"/>
        <v>317</v>
      </c>
      <c r="AW34" s="287">
        <f t="shared" si="5"/>
        <v>5169</v>
      </c>
      <c r="AX34" s="387">
        <f t="shared" si="5"/>
        <v>1325</v>
      </c>
      <c r="AY34" s="426">
        <f t="shared" si="5"/>
        <v>1483</v>
      </c>
      <c r="AZ34" s="426">
        <f t="shared" si="5"/>
        <v>730</v>
      </c>
      <c r="BA34" s="424">
        <f t="shared" si="5"/>
        <v>-5</v>
      </c>
      <c r="BB34" s="426">
        <f t="shared" si="5"/>
        <v>3533</v>
      </c>
      <c r="BC34" s="426">
        <v>482</v>
      </c>
      <c r="BD34" s="426">
        <f>+BD32+BD33</f>
        <v>725</v>
      </c>
      <c r="BE34" s="427">
        <f>+BE32+BE33</f>
        <v>530</v>
      </c>
    </row>
    <row r="35" spans="1:57" s="20" customFormat="1" ht="13.5" customHeight="1">
      <c r="A35" s="121"/>
      <c r="B35" s="22"/>
      <c r="C35" s="42"/>
      <c r="D35" s="43"/>
      <c r="E35" s="43"/>
      <c r="F35" s="43"/>
      <c r="G35" s="43"/>
      <c r="H35" s="18"/>
      <c r="I35" s="42"/>
      <c r="J35" s="43"/>
      <c r="K35" s="43"/>
      <c r="L35" s="43"/>
      <c r="M35" s="43"/>
      <c r="N35" s="113"/>
      <c r="O35" s="122"/>
      <c r="P35" s="123"/>
      <c r="Q35" s="123"/>
      <c r="R35" s="123"/>
      <c r="S35" s="338"/>
      <c r="U35" s="122"/>
      <c r="V35" s="123"/>
      <c r="W35" s="123"/>
      <c r="X35" s="123"/>
      <c r="Y35" s="338"/>
      <c r="Z35" s="54"/>
      <c r="AA35" s="341"/>
      <c r="AB35" s="338"/>
      <c r="AC35" s="338"/>
      <c r="AD35" s="338"/>
      <c r="AE35" s="338"/>
      <c r="AG35" s="341"/>
      <c r="AH35" s="397"/>
      <c r="AI35" s="397"/>
      <c r="AJ35" s="397"/>
      <c r="AK35" s="338"/>
      <c r="AL35" s="33"/>
      <c r="AM35" s="425"/>
      <c r="AN35" s="356"/>
      <c r="AO35" s="356"/>
      <c r="AP35" s="356"/>
      <c r="AQ35" s="356"/>
      <c r="AR35" s="356"/>
      <c r="AS35" s="397"/>
      <c r="AT35" s="397"/>
      <c r="AU35" s="338"/>
      <c r="AV35" s="397"/>
      <c r="AW35" s="397"/>
      <c r="AX35" s="338"/>
      <c r="AY35" s="397"/>
      <c r="AZ35" s="338"/>
      <c r="BA35" s="397"/>
      <c r="BB35" s="338"/>
      <c r="BC35" s="397"/>
      <c r="BD35" s="338"/>
      <c r="BE35" s="338"/>
    </row>
    <row r="36" spans="1:57" s="20" customFormat="1" ht="13.5" customHeight="1">
      <c r="A36" s="583" t="s">
        <v>97</v>
      </c>
      <c r="B36" s="22"/>
      <c r="C36" s="45">
        <v>206</v>
      </c>
      <c r="D36" s="44">
        <v>213</v>
      </c>
      <c r="E36" s="44">
        <v>210</v>
      </c>
      <c r="F36" s="44">
        <v>189</v>
      </c>
      <c r="G36" s="44">
        <v>818</v>
      </c>
      <c r="H36" s="15"/>
      <c r="I36" s="45">
        <v>226</v>
      </c>
      <c r="J36" s="44">
        <v>203</v>
      </c>
      <c r="K36" s="44">
        <v>226</v>
      </c>
      <c r="L36" s="44">
        <v>220</v>
      </c>
      <c r="M36" s="44">
        <v>875</v>
      </c>
      <c r="N36" s="113"/>
      <c r="O36" s="644">
        <v>214</v>
      </c>
      <c r="P36" s="645">
        <v>237</v>
      </c>
      <c r="Q36" s="645">
        <v>249</v>
      </c>
      <c r="R36" s="645">
        <v>256</v>
      </c>
      <c r="S36" s="337">
        <v>956</v>
      </c>
      <c r="T36" s="17"/>
      <c r="U36" s="644">
        <v>239</v>
      </c>
      <c r="V36" s="645">
        <v>257</v>
      </c>
      <c r="W36" s="645">
        <v>256</v>
      </c>
      <c r="X36" s="645">
        <v>283</v>
      </c>
      <c r="Y36" s="337">
        <v>1035</v>
      </c>
      <c r="Z36" s="53"/>
      <c r="AA36" s="339">
        <v>251</v>
      </c>
      <c r="AB36" s="337">
        <v>283</v>
      </c>
      <c r="AC36" s="337">
        <v>286</v>
      </c>
      <c r="AD36" s="337">
        <v>299</v>
      </c>
      <c r="AE36" s="337">
        <v>1119</v>
      </c>
      <c r="AF36" s="17"/>
      <c r="AG36" s="339">
        <v>274</v>
      </c>
      <c r="AH36" s="356">
        <v>312</v>
      </c>
      <c r="AI36" s="356">
        <f>893-274-312</f>
        <v>307</v>
      </c>
      <c r="AJ36" s="356">
        <f>1220-274-312-307</f>
        <v>327</v>
      </c>
      <c r="AK36" s="337">
        <v>1220</v>
      </c>
      <c r="AL36" s="32"/>
      <c r="AM36" s="356">
        <v>284</v>
      </c>
      <c r="AN36" s="356">
        <v>311</v>
      </c>
      <c r="AO36" s="356">
        <v>301</v>
      </c>
      <c r="AP36" s="646">
        <v>397</v>
      </c>
      <c r="AQ36" s="646">
        <v>1293</v>
      </c>
      <c r="AR36" s="276"/>
      <c r="AS36" s="385">
        <v>309</v>
      </c>
      <c r="AT36" s="385">
        <v>347</v>
      </c>
      <c r="AU36" s="385">
        <v>359</v>
      </c>
      <c r="AV36" s="385">
        <v>348</v>
      </c>
      <c r="AW36" s="385">
        <v>1363</v>
      </c>
      <c r="AX36" s="385">
        <v>322</v>
      </c>
      <c r="AY36" s="385">
        <v>373</v>
      </c>
      <c r="AZ36" s="385">
        <v>369</v>
      </c>
      <c r="BA36" s="385">
        <v>370</v>
      </c>
      <c r="BB36" s="385">
        <f>+BA36+AZ36+AY36+AX36</f>
        <v>1434</v>
      </c>
      <c r="BC36" s="321"/>
      <c r="BD36" s="321"/>
      <c r="BE36" s="321"/>
    </row>
    <row r="37" spans="1:57" s="488" customFormat="1" ht="13.5" customHeight="1">
      <c r="A37" s="121" t="s">
        <v>375</v>
      </c>
      <c r="B37" s="518"/>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85">
        <v>413</v>
      </c>
      <c r="BD37" s="385">
        <v>435</v>
      </c>
      <c r="BE37" s="415">
        <v>427</v>
      </c>
    </row>
    <row r="38" spans="1:57" s="20" customFormat="1" ht="13.5" customHeight="1">
      <c r="A38" s="583" t="s">
        <v>251</v>
      </c>
      <c r="B38" s="22"/>
      <c r="C38" s="42">
        <v>982</v>
      </c>
      <c r="D38" s="43">
        <v>1037</v>
      </c>
      <c r="E38" s="43">
        <v>1112</v>
      </c>
      <c r="F38" s="43">
        <v>1200</v>
      </c>
      <c r="G38" s="43">
        <v>4331</v>
      </c>
      <c r="H38" s="18"/>
      <c r="I38" s="42">
        <v>1095</v>
      </c>
      <c r="J38" s="43">
        <v>1269</v>
      </c>
      <c r="K38" s="43">
        <v>888</v>
      </c>
      <c r="L38" s="43">
        <v>907</v>
      </c>
      <c r="M38" s="43">
        <v>4159</v>
      </c>
      <c r="N38" s="113"/>
      <c r="O38" s="122">
        <v>673</v>
      </c>
      <c r="P38" s="123">
        <v>790</v>
      </c>
      <c r="Q38" s="123">
        <v>931</v>
      </c>
      <c r="R38" s="123">
        <v>1157</v>
      </c>
      <c r="S38" s="19">
        <v>3551</v>
      </c>
      <c r="U38" s="122">
        <v>1304</v>
      </c>
      <c r="V38" s="123">
        <v>927</v>
      </c>
      <c r="W38" s="123">
        <v>968</v>
      </c>
      <c r="X38" s="123">
        <v>961</v>
      </c>
      <c r="Y38" s="19">
        <v>4160</v>
      </c>
      <c r="Z38" s="54"/>
      <c r="AA38" s="41">
        <v>771</v>
      </c>
      <c r="AB38" s="19">
        <v>929</v>
      </c>
      <c r="AC38" s="19">
        <v>888</v>
      </c>
      <c r="AD38" s="19">
        <v>828</v>
      </c>
      <c r="AE38" s="19">
        <v>3416</v>
      </c>
      <c r="AG38" s="41">
        <v>999</v>
      </c>
      <c r="AH38" s="120">
        <v>920</v>
      </c>
      <c r="AI38" s="120">
        <f>AI17+AI36</f>
        <v>949</v>
      </c>
      <c r="AJ38" s="120">
        <f>3612-949-920-999</f>
        <v>744</v>
      </c>
      <c r="AK38" s="19">
        <v>3612</v>
      </c>
      <c r="AL38" s="33"/>
      <c r="AM38" s="152">
        <v>900</v>
      </c>
      <c r="AN38" s="152">
        <v>1031</v>
      </c>
      <c r="AO38" s="152">
        <v>1121</v>
      </c>
      <c r="AP38" s="103">
        <v>1406</v>
      </c>
      <c r="AQ38" s="103">
        <v>4458</v>
      </c>
      <c r="AR38" s="104"/>
      <c r="AS38" s="286">
        <f>AS17+AS36</f>
        <v>1668</v>
      </c>
      <c r="AT38" s="283">
        <f>AT17+AT36</f>
        <v>1482</v>
      </c>
      <c r="AU38" s="283">
        <f>AU17+AU36</f>
        <v>1115</v>
      </c>
      <c r="AV38" s="283">
        <v>1202</v>
      </c>
      <c r="AW38" s="283">
        <v>5467</v>
      </c>
      <c r="AX38" s="383">
        <f>AX17+AX36</f>
        <v>1924</v>
      </c>
      <c r="AY38" s="425">
        <f>AY17+AY36</f>
        <v>1515</v>
      </c>
      <c r="AZ38" s="425">
        <f>AZ17+AZ36</f>
        <v>998</v>
      </c>
      <c r="BA38" s="425">
        <v>963</v>
      </c>
      <c r="BB38" s="425">
        <f>+BA38+AZ38+AY38+AX38</f>
        <v>5400</v>
      </c>
      <c r="BC38" s="425">
        <f>+BC17+BC37</f>
        <v>1410</v>
      </c>
      <c r="BD38" s="425">
        <f>+BD17+BD37</f>
        <v>879</v>
      </c>
      <c r="BE38" s="431">
        <f>+BE17+BE37</f>
        <v>873</v>
      </c>
    </row>
    <row r="39" spans="1:57" s="20" customFormat="1" ht="36.75" customHeight="1">
      <c r="A39" s="582" t="s">
        <v>372</v>
      </c>
      <c r="B39" s="18"/>
      <c r="C39" s="45">
        <v>982</v>
      </c>
      <c r="D39" s="44">
        <v>1041</v>
      </c>
      <c r="E39" s="44">
        <v>1163</v>
      </c>
      <c r="F39" s="44">
        <v>1235</v>
      </c>
      <c r="G39" s="44">
        <v>4331</v>
      </c>
      <c r="H39" s="15"/>
      <c r="I39" s="45">
        <v>1095</v>
      </c>
      <c r="J39" s="44">
        <v>1269</v>
      </c>
      <c r="K39" s="44">
        <v>888</v>
      </c>
      <c r="L39" s="44">
        <v>911</v>
      </c>
      <c r="M39" s="44">
        <v>4163</v>
      </c>
      <c r="N39" s="113"/>
      <c r="O39" s="45">
        <v>673</v>
      </c>
      <c r="P39" s="44">
        <v>790</v>
      </c>
      <c r="Q39" s="44">
        <v>931</v>
      </c>
      <c r="R39" s="44">
        <v>1157</v>
      </c>
      <c r="S39" s="337">
        <v>3551</v>
      </c>
      <c r="T39" s="17"/>
      <c r="U39" s="45">
        <v>1304</v>
      </c>
      <c r="V39" s="44">
        <v>927</v>
      </c>
      <c r="W39" s="44">
        <v>968</v>
      </c>
      <c r="X39" s="44">
        <v>961</v>
      </c>
      <c r="Y39" s="16">
        <v>4160</v>
      </c>
      <c r="Z39" s="53"/>
      <c r="AA39" s="38">
        <v>771</v>
      </c>
      <c r="AB39" s="16">
        <v>929</v>
      </c>
      <c r="AC39" s="16">
        <v>888</v>
      </c>
      <c r="AD39" s="16">
        <v>828</v>
      </c>
      <c r="AE39" s="16">
        <v>3416</v>
      </c>
      <c r="AG39" s="38">
        <v>999</v>
      </c>
      <c r="AH39" s="148">
        <v>920</v>
      </c>
      <c r="AI39" s="148">
        <v>949</v>
      </c>
      <c r="AJ39" s="148">
        <f>3619-949-920-999</f>
        <v>751</v>
      </c>
      <c r="AK39" s="16">
        <v>3619</v>
      </c>
      <c r="AL39" s="33"/>
      <c r="AM39" s="172">
        <v>900</v>
      </c>
      <c r="AN39" s="172">
        <v>1031</v>
      </c>
      <c r="AO39" s="172">
        <v>1121</v>
      </c>
      <c r="AP39" s="266">
        <v>1406</v>
      </c>
      <c r="AQ39" s="266">
        <v>4458</v>
      </c>
      <c r="AR39" s="276"/>
      <c r="AS39" s="287">
        <v>1675</v>
      </c>
      <c r="AT39" s="287">
        <v>1482</v>
      </c>
      <c r="AU39" s="287">
        <v>1115</v>
      </c>
      <c r="AV39" s="287">
        <v>1202</v>
      </c>
      <c r="AW39" s="287">
        <v>5474</v>
      </c>
      <c r="AX39" s="387">
        <f>AX38</f>
        <v>1924</v>
      </c>
      <c r="AY39" s="387">
        <v>1515</v>
      </c>
      <c r="AZ39" s="426">
        <v>998</v>
      </c>
      <c r="BA39" s="426">
        <v>963</v>
      </c>
      <c r="BB39" s="426">
        <f>+BA39+AZ39+AY39+AX39</f>
        <v>5400</v>
      </c>
      <c r="BC39" s="426">
        <v>1410</v>
      </c>
      <c r="BD39" s="426">
        <v>879</v>
      </c>
      <c r="BE39" s="415">
        <v>873</v>
      </c>
    </row>
    <row r="40" spans="1:57" s="20" customFormat="1" ht="36.75" customHeight="1">
      <c r="A40" s="643" t="s">
        <v>380</v>
      </c>
      <c r="B40" s="18"/>
      <c r="C40" s="44"/>
      <c r="D40" s="44"/>
      <c r="E40" s="44"/>
      <c r="F40" s="44"/>
      <c r="G40" s="44"/>
      <c r="H40" s="15"/>
      <c r="I40" s="44"/>
      <c r="J40" s="44"/>
      <c r="K40" s="44"/>
      <c r="L40" s="44"/>
      <c r="M40" s="44"/>
      <c r="N40" s="113"/>
      <c r="O40" s="44"/>
      <c r="P40" s="44"/>
      <c r="Q40" s="44"/>
      <c r="R40" s="44"/>
      <c r="S40" s="337"/>
      <c r="T40" s="17"/>
      <c r="U40" s="44"/>
      <c r="V40" s="44"/>
      <c r="W40" s="44"/>
      <c r="X40" s="44"/>
      <c r="Y40" s="337"/>
      <c r="Z40" s="53"/>
      <c r="AA40" s="337"/>
      <c r="AB40" s="337"/>
      <c r="AC40" s="337"/>
      <c r="AD40" s="337"/>
      <c r="AE40" s="337"/>
      <c r="AG40" s="337"/>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row>
    <row r="41" spans="1:57" s="20" customFormat="1" ht="12" customHeight="1">
      <c r="A41" s="583" t="s">
        <v>101</v>
      </c>
      <c r="B41" s="22"/>
      <c r="C41" s="124">
        <v>1.77</v>
      </c>
      <c r="D41" s="39">
        <v>1.82</v>
      </c>
      <c r="E41" s="39">
        <v>1.88</v>
      </c>
      <c r="F41" s="39">
        <v>1.82</v>
      </c>
      <c r="G41" s="39">
        <v>1.82</v>
      </c>
      <c r="H41" s="22"/>
      <c r="I41" s="125">
        <v>1.46</v>
      </c>
      <c r="J41" s="126">
        <v>1.52</v>
      </c>
      <c r="K41" s="126">
        <v>1.49</v>
      </c>
      <c r="L41" s="126">
        <v>1.4</v>
      </c>
      <c r="M41" s="126">
        <v>1.47</v>
      </c>
      <c r="N41" s="127"/>
      <c r="O41" s="125">
        <v>1.33</v>
      </c>
      <c r="P41" s="126">
        <v>1.32</v>
      </c>
      <c r="Q41" s="126">
        <v>1.18</v>
      </c>
      <c r="R41" s="126">
        <v>1.34</v>
      </c>
      <c r="S41" s="49">
        <v>1.3</v>
      </c>
      <c r="U41" s="125">
        <v>1.33</v>
      </c>
      <c r="V41" s="126">
        <v>1.34</v>
      </c>
      <c r="W41" s="126">
        <v>1.42</v>
      </c>
      <c r="X41" s="126">
        <v>1.84</v>
      </c>
      <c r="Y41" s="49">
        <v>1.52</v>
      </c>
      <c r="Z41" s="128"/>
      <c r="AA41" s="48">
        <v>1.83</v>
      </c>
      <c r="AB41" s="49">
        <v>1.96</v>
      </c>
      <c r="AC41" s="49">
        <v>1.82</v>
      </c>
      <c r="AD41" s="49">
        <v>1.79</v>
      </c>
      <c r="AE41" s="49">
        <v>1.85</v>
      </c>
      <c r="AG41" s="48">
        <v>1.76</v>
      </c>
      <c r="AH41" s="154">
        <v>1.85</v>
      </c>
      <c r="AI41" s="154">
        <v>1.53</v>
      </c>
      <c r="AJ41" s="154">
        <v>1.83</v>
      </c>
      <c r="AK41" s="154">
        <v>1.74</v>
      </c>
      <c r="AL41" s="33"/>
      <c r="AM41" s="154">
        <v>1.58</v>
      </c>
      <c r="AN41" s="154">
        <v>1.59</v>
      </c>
      <c r="AO41" s="154">
        <v>1.61</v>
      </c>
      <c r="AP41" s="49">
        <v>1.68</v>
      </c>
      <c r="AQ41" s="49">
        <v>1.62</v>
      </c>
      <c r="AR41" s="128"/>
      <c r="AS41" s="289">
        <v>1.93</v>
      </c>
      <c r="AT41" s="289">
        <v>2.3</v>
      </c>
      <c r="AU41" s="289">
        <v>2.48</v>
      </c>
      <c r="AV41" s="289">
        <v>2.33</v>
      </c>
      <c r="AW41" s="289">
        <v>2.26</v>
      </c>
      <c r="AX41" s="389">
        <v>2.4</v>
      </c>
      <c r="AY41" s="389">
        <v>2.42</v>
      </c>
      <c r="AZ41" s="389">
        <v>2.38</v>
      </c>
      <c r="BA41" s="389">
        <v>2.34</v>
      </c>
      <c r="BB41" s="389">
        <v>2.38</v>
      </c>
      <c r="BC41" s="389">
        <v>3.08</v>
      </c>
      <c r="BD41" s="389">
        <v>2.98</v>
      </c>
      <c r="BE41" s="417">
        <v>2.97</v>
      </c>
    </row>
    <row r="42" spans="1:57" s="20" customFormat="1" ht="12" customHeight="1">
      <c r="A42" s="612" t="s">
        <v>252</v>
      </c>
      <c r="B42" s="129"/>
      <c r="C42" s="130"/>
      <c r="D42" s="130"/>
      <c r="E42" s="130"/>
      <c r="F42" s="13"/>
      <c r="G42" s="13"/>
      <c r="H42" s="131"/>
      <c r="I42" s="130"/>
      <c r="J42" s="130"/>
      <c r="K42" s="130"/>
      <c r="L42" s="13"/>
      <c r="M42" s="13"/>
      <c r="N42" s="131"/>
      <c r="O42" s="12"/>
      <c r="P42" s="12"/>
      <c r="Q42" s="12"/>
      <c r="R42" s="13"/>
      <c r="S42" s="132"/>
      <c r="U42" s="12"/>
      <c r="V42" s="12"/>
      <c r="W42" s="12"/>
      <c r="X42" s="12"/>
      <c r="Y42" s="133"/>
      <c r="AA42" s="12"/>
      <c r="AB42" s="12"/>
      <c r="AC42" s="12"/>
      <c r="AD42" s="12"/>
      <c r="AE42" s="12"/>
      <c r="AG42" s="12"/>
      <c r="AH42" s="50"/>
      <c r="AI42" s="159"/>
      <c r="AJ42" s="159"/>
      <c r="AK42" s="171"/>
      <c r="AM42" s="169"/>
      <c r="AN42" s="171"/>
      <c r="AO42" s="171"/>
      <c r="AS42" s="288"/>
      <c r="AT42" s="288"/>
      <c r="AU42" s="288"/>
      <c r="AV42" s="288"/>
      <c r="AW42" s="288"/>
      <c r="AX42" s="388"/>
      <c r="AY42" s="388"/>
      <c r="AZ42" s="388"/>
      <c r="BA42" s="388"/>
      <c r="BB42" s="388"/>
      <c r="BC42" s="388"/>
      <c r="BD42" s="388"/>
      <c r="BE42" s="569"/>
    </row>
    <row r="43" spans="1:57" ht="11.25">
      <c r="A43" s="585" t="s">
        <v>103</v>
      </c>
      <c r="B43" s="99"/>
      <c r="C43" s="134">
        <v>206</v>
      </c>
      <c r="D43" s="135">
        <v>213</v>
      </c>
      <c r="E43" s="135">
        <v>210</v>
      </c>
      <c r="F43" s="135">
        <v>189</v>
      </c>
      <c r="G43" s="135">
        <v>818</v>
      </c>
      <c r="H43" s="99"/>
      <c r="I43" s="134">
        <v>226</v>
      </c>
      <c r="J43" s="135">
        <v>228</v>
      </c>
      <c r="K43" s="135">
        <v>234</v>
      </c>
      <c r="L43" s="135">
        <v>222</v>
      </c>
      <c r="M43" s="135">
        <v>910</v>
      </c>
      <c r="N43" s="136"/>
      <c r="O43" s="134">
        <v>243</v>
      </c>
      <c r="P43" s="135">
        <v>247</v>
      </c>
      <c r="Q43" s="135">
        <v>246</v>
      </c>
      <c r="R43" s="135">
        <v>257</v>
      </c>
      <c r="S43" s="19">
        <v>993</v>
      </c>
      <c r="U43" s="134">
        <v>269</v>
      </c>
      <c r="V43" s="135">
        <v>262</v>
      </c>
      <c r="W43" s="135">
        <v>261</v>
      </c>
      <c r="X43" s="135">
        <v>280</v>
      </c>
      <c r="Y43" s="135">
        <f>U43+V43+W43+X43</f>
        <v>1072</v>
      </c>
      <c r="Z43" s="136"/>
      <c r="AA43" s="134">
        <v>293</v>
      </c>
      <c r="AB43" s="135">
        <v>287</v>
      </c>
      <c r="AC43" s="135">
        <v>288</v>
      </c>
      <c r="AD43" s="135">
        <v>305</v>
      </c>
      <c r="AE43" s="135">
        <v>1173</v>
      </c>
      <c r="AG43" s="134">
        <v>314</v>
      </c>
      <c r="AH43" s="120">
        <v>319</v>
      </c>
      <c r="AI43" s="120">
        <v>330</v>
      </c>
      <c r="AJ43" s="120">
        <v>335</v>
      </c>
      <c r="AK43" s="120">
        <v>1298</v>
      </c>
      <c r="AL43" s="176"/>
      <c r="AM43" s="120">
        <v>325</v>
      </c>
      <c r="AN43" s="120">
        <v>322</v>
      </c>
      <c r="AO43" s="120">
        <v>309</v>
      </c>
      <c r="AP43" s="265">
        <v>408</v>
      </c>
      <c r="AQ43" s="265">
        <v>1364</v>
      </c>
      <c r="AR43" s="104"/>
      <c r="AS43" s="283">
        <v>356</v>
      </c>
      <c r="AT43" s="283">
        <v>360</v>
      </c>
      <c r="AU43" s="283">
        <v>363</v>
      </c>
      <c r="AV43" s="283">
        <v>356</v>
      </c>
      <c r="AW43" s="283">
        <v>1435</v>
      </c>
      <c r="AX43" s="383">
        <v>364</v>
      </c>
      <c r="AY43" s="383">
        <v>377</v>
      </c>
      <c r="AZ43" s="425">
        <v>376</v>
      </c>
      <c r="BA43" s="425">
        <v>387</v>
      </c>
      <c r="BB43" s="425">
        <v>1504</v>
      </c>
      <c r="BC43" s="425">
        <v>413</v>
      </c>
      <c r="BD43" s="425">
        <v>435</v>
      </c>
      <c r="BE43" s="431">
        <v>427</v>
      </c>
    </row>
    <row r="44" spans="1:57" ht="11.25">
      <c r="A44" s="585" t="s">
        <v>104</v>
      </c>
      <c r="B44" s="99"/>
      <c r="C44" s="134">
        <v>750</v>
      </c>
      <c r="D44" s="135">
        <v>736</v>
      </c>
      <c r="E44" s="135">
        <v>752</v>
      </c>
      <c r="F44" s="135">
        <v>784</v>
      </c>
      <c r="G44" s="135">
        <v>3022</v>
      </c>
      <c r="H44" s="99"/>
      <c r="I44" s="134">
        <v>741</v>
      </c>
      <c r="J44" s="135">
        <v>711</v>
      </c>
      <c r="K44" s="135">
        <v>760</v>
      </c>
      <c r="L44" s="135">
        <v>780</v>
      </c>
      <c r="M44" s="135">
        <v>2992</v>
      </c>
      <c r="N44" s="136"/>
      <c r="O44" s="134">
        <v>698</v>
      </c>
      <c r="P44" s="135">
        <v>760</v>
      </c>
      <c r="Q44" s="135">
        <v>760</v>
      </c>
      <c r="R44" s="135">
        <v>805</v>
      </c>
      <c r="S44" s="19">
        <v>3023</v>
      </c>
      <c r="U44" s="134">
        <v>751</v>
      </c>
      <c r="V44" s="135">
        <v>813</v>
      </c>
      <c r="W44" s="135">
        <v>782</v>
      </c>
      <c r="X44" s="135">
        <v>864</v>
      </c>
      <c r="Y44" s="135">
        <f aca="true" t="shared" si="6" ref="Y44:Y59">U44+V44+W44+X44</f>
        <v>3210</v>
      </c>
      <c r="Z44" s="136"/>
      <c r="AA44" s="134">
        <v>782</v>
      </c>
      <c r="AB44" s="135">
        <v>902</v>
      </c>
      <c r="AC44" s="135">
        <v>835</v>
      </c>
      <c r="AD44" s="135">
        <v>805</v>
      </c>
      <c r="AE44" s="135">
        <v>3324</v>
      </c>
      <c r="AG44" s="134">
        <v>839</v>
      </c>
      <c r="AH44" s="120">
        <v>871</v>
      </c>
      <c r="AI44" s="120">
        <v>948</v>
      </c>
      <c r="AJ44" s="120">
        <v>936</v>
      </c>
      <c r="AK44" s="152">
        <v>3594</v>
      </c>
      <c r="AL44" s="176"/>
      <c r="AM44" s="152">
        <v>890</v>
      </c>
      <c r="AN44" s="152">
        <v>932</v>
      </c>
      <c r="AO44" s="152">
        <v>952</v>
      </c>
      <c r="AP44" s="103">
        <v>1061</v>
      </c>
      <c r="AQ44" s="103">
        <v>3835</v>
      </c>
      <c r="AR44" s="104"/>
      <c r="AS44" s="286">
        <v>955</v>
      </c>
      <c r="AT44" s="286">
        <v>1114</v>
      </c>
      <c r="AU44" s="286">
        <v>1083</v>
      </c>
      <c r="AV44" s="286">
        <v>1097</v>
      </c>
      <c r="AW44" s="286">
        <v>4249</v>
      </c>
      <c r="AX44" s="386">
        <v>988</v>
      </c>
      <c r="AY44" s="386">
        <v>1332</v>
      </c>
      <c r="AZ44" s="386">
        <v>1168</v>
      </c>
      <c r="BA44" s="386">
        <v>1344</v>
      </c>
      <c r="BB44" s="386">
        <v>4832</v>
      </c>
      <c r="BC44" s="386">
        <v>1267</v>
      </c>
      <c r="BD44" s="386">
        <v>1458</v>
      </c>
      <c r="BE44" s="431">
        <v>1340</v>
      </c>
    </row>
    <row r="45" spans="1:57" ht="11.25">
      <c r="A45" s="585" t="s">
        <v>253</v>
      </c>
      <c r="B45" s="99"/>
      <c r="C45" s="134">
        <v>1496</v>
      </c>
      <c r="D45" s="135">
        <v>1413</v>
      </c>
      <c r="E45" s="135">
        <v>1543</v>
      </c>
      <c r="F45" s="135">
        <v>1418</v>
      </c>
      <c r="G45" s="135">
        <v>5870</v>
      </c>
      <c r="H45" s="99"/>
      <c r="I45" s="134">
        <v>1320</v>
      </c>
      <c r="J45" s="135">
        <v>1488</v>
      </c>
      <c r="K45" s="135">
        <v>1240</v>
      </c>
      <c r="L45" s="135">
        <v>1433</v>
      </c>
      <c r="M45" s="135">
        <v>5481</v>
      </c>
      <c r="N45" s="136"/>
      <c r="O45" s="134">
        <v>1400</v>
      </c>
      <c r="P45" s="135">
        <v>1416</v>
      </c>
      <c r="Q45" s="135">
        <v>1179</v>
      </c>
      <c r="R45" s="135">
        <v>1487</v>
      </c>
      <c r="S45" s="19">
        <v>5482</v>
      </c>
      <c r="U45" s="134">
        <v>1371</v>
      </c>
      <c r="V45" s="135">
        <v>1417</v>
      </c>
      <c r="W45" s="135">
        <v>1596</v>
      </c>
      <c r="X45" s="135">
        <v>1447</v>
      </c>
      <c r="Y45" s="135">
        <f t="shared" si="6"/>
        <v>5831</v>
      </c>
      <c r="Z45" s="136"/>
      <c r="AA45" s="134">
        <v>1405</v>
      </c>
      <c r="AB45" s="135">
        <v>1144</v>
      </c>
      <c r="AC45" s="135">
        <v>1292</v>
      </c>
      <c r="AD45" s="135">
        <v>1471</v>
      </c>
      <c r="AE45" s="135">
        <v>5312</v>
      </c>
      <c r="AG45" s="134">
        <v>1591</v>
      </c>
      <c r="AH45" s="120">
        <v>1550</v>
      </c>
      <c r="AI45" s="120">
        <v>1515</v>
      </c>
      <c r="AJ45" s="120">
        <v>1540</v>
      </c>
      <c r="AK45" s="152">
        <v>6196</v>
      </c>
      <c r="AL45" s="176"/>
      <c r="AM45" s="152">
        <v>1524</v>
      </c>
      <c r="AN45" s="152">
        <v>1377</v>
      </c>
      <c r="AO45" s="152">
        <v>1719</v>
      </c>
      <c r="AP45" s="103">
        <v>1706</v>
      </c>
      <c r="AQ45" s="103">
        <v>6326</v>
      </c>
      <c r="AR45" s="104"/>
      <c r="AS45" s="286">
        <v>2347</v>
      </c>
      <c r="AT45" s="286">
        <v>2673</v>
      </c>
      <c r="AU45" s="286">
        <v>2541</v>
      </c>
      <c r="AV45" s="286">
        <v>2681</v>
      </c>
      <c r="AW45" s="286">
        <v>10242</v>
      </c>
      <c r="AX45" s="386">
        <v>3310</v>
      </c>
      <c r="AY45" s="386">
        <v>3640</v>
      </c>
      <c r="AZ45" s="386">
        <v>3291</v>
      </c>
      <c r="BA45" s="386">
        <v>3446</v>
      </c>
      <c r="BB45" s="386">
        <v>13687</v>
      </c>
      <c r="BC45" s="386">
        <v>3721</v>
      </c>
      <c r="BD45" s="386">
        <v>3270</v>
      </c>
      <c r="BE45" s="431">
        <v>2906</v>
      </c>
    </row>
    <row r="46" spans="1:57" ht="11.25">
      <c r="A46" s="579" t="s">
        <v>254</v>
      </c>
      <c r="B46" s="99"/>
      <c r="C46" s="134">
        <v>952</v>
      </c>
      <c r="D46" s="135">
        <v>874</v>
      </c>
      <c r="E46" s="135">
        <v>998</v>
      </c>
      <c r="F46" s="135">
        <v>864</v>
      </c>
      <c r="G46" s="135">
        <v>3688</v>
      </c>
      <c r="H46" s="99"/>
      <c r="I46" s="134">
        <v>799</v>
      </c>
      <c r="J46" s="135">
        <v>972</v>
      </c>
      <c r="K46" s="135">
        <v>713</v>
      </c>
      <c r="L46" s="135">
        <v>868</v>
      </c>
      <c r="M46" s="135">
        <v>3352</v>
      </c>
      <c r="N46" s="136"/>
      <c r="O46" s="134">
        <v>885</v>
      </c>
      <c r="P46" s="135">
        <v>902</v>
      </c>
      <c r="Q46" s="135">
        <v>707</v>
      </c>
      <c r="R46" s="135">
        <v>975</v>
      </c>
      <c r="S46" s="19">
        <v>3469</v>
      </c>
      <c r="U46" s="134">
        <v>853</v>
      </c>
      <c r="V46" s="135">
        <v>906</v>
      </c>
      <c r="W46" s="135">
        <v>1059</v>
      </c>
      <c r="X46" s="135">
        <v>932</v>
      </c>
      <c r="Y46" s="135">
        <f t="shared" si="6"/>
        <v>3750</v>
      </c>
      <c r="Z46" s="136"/>
      <c r="AA46" s="134">
        <v>866</v>
      </c>
      <c r="AB46" s="135">
        <v>611</v>
      </c>
      <c r="AC46" s="135">
        <v>701</v>
      </c>
      <c r="AD46" s="135">
        <v>862</v>
      </c>
      <c r="AE46" s="135">
        <v>3040</v>
      </c>
      <c r="AG46" s="134">
        <v>992</v>
      </c>
      <c r="AH46" s="120">
        <v>996</v>
      </c>
      <c r="AI46" s="120">
        <v>900</v>
      </c>
      <c r="AJ46" s="120">
        <v>890</v>
      </c>
      <c r="AK46" s="152">
        <v>3778</v>
      </c>
      <c r="AL46" s="176"/>
      <c r="AM46" s="152">
        <v>919</v>
      </c>
      <c r="AN46" s="152">
        <v>810</v>
      </c>
      <c r="AO46" s="152">
        <v>1145</v>
      </c>
      <c r="AP46" s="103">
        <v>1100</v>
      </c>
      <c r="AQ46" s="103">
        <v>3974</v>
      </c>
      <c r="AR46" s="104"/>
      <c r="AS46" s="286">
        <v>1667</v>
      </c>
      <c r="AT46" s="286">
        <v>1989</v>
      </c>
      <c r="AU46" s="286">
        <v>1707</v>
      </c>
      <c r="AV46" s="286">
        <v>1769</v>
      </c>
      <c r="AW46" s="286">
        <v>7132</v>
      </c>
      <c r="AX46" s="386">
        <v>2204</v>
      </c>
      <c r="AY46" s="386">
        <v>2420</v>
      </c>
      <c r="AZ46" s="386">
        <v>2077</v>
      </c>
      <c r="BA46" s="386">
        <v>2158</v>
      </c>
      <c r="BB46" s="386">
        <v>8859</v>
      </c>
      <c r="BC46" s="386">
        <v>2211</v>
      </c>
      <c r="BD46" s="386">
        <v>1908</v>
      </c>
      <c r="BE46" s="431">
        <v>1678</v>
      </c>
    </row>
    <row r="47" spans="1:57" ht="11.25">
      <c r="A47" s="579" t="s">
        <v>255</v>
      </c>
      <c r="B47" s="99"/>
      <c r="C47" s="137">
        <v>210</v>
      </c>
      <c r="D47" s="138">
        <v>187</v>
      </c>
      <c r="E47" s="138">
        <v>204</v>
      </c>
      <c r="F47" s="138">
        <v>181</v>
      </c>
      <c r="G47" s="135">
        <v>782</v>
      </c>
      <c r="H47" s="99"/>
      <c r="I47" s="134">
        <v>178</v>
      </c>
      <c r="J47" s="135">
        <v>174</v>
      </c>
      <c r="K47" s="135">
        <v>183</v>
      </c>
      <c r="L47" s="135">
        <v>200</v>
      </c>
      <c r="M47" s="135">
        <v>735</v>
      </c>
      <c r="N47" s="136"/>
      <c r="O47" s="134">
        <v>198</v>
      </c>
      <c r="P47" s="135">
        <v>189</v>
      </c>
      <c r="Q47" s="135">
        <v>172</v>
      </c>
      <c r="R47" s="135">
        <v>186</v>
      </c>
      <c r="S47" s="19">
        <v>745</v>
      </c>
      <c r="U47" s="134">
        <v>167</v>
      </c>
      <c r="V47" s="135">
        <v>190</v>
      </c>
      <c r="W47" s="135">
        <v>222</v>
      </c>
      <c r="X47" s="135">
        <v>196</v>
      </c>
      <c r="Y47" s="135">
        <f t="shared" si="6"/>
        <v>775</v>
      </c>
      <c r="Z47" s="136"/>
      <c r="AA47" s="134">
        <v>185</v>
      </c>
      <c r="AB47" s="135">
        <v>187</v>
      </c>
      <c r="AC47" s="135">
        <v>228</v>
      </c>
      <c r="AD47" s="135">
        <v>203</v>
      </c>
      <c r="AE47" s="135">
        <v>803</v>
      </c>
      <c r="AG47" s="134">
        <v>234</v>
      </c>
      <c r="AH47" s="120">
        <v>195</v>
      </c>
      <c r="AI47" s="120">
        <v>255</v>
      </c>
      <c r="AJ47" s="120">
        <v>255</v>
      </c>
      <c r="AK47" s="152">
        <v>939</v>
      </c>
      <c r="AL47" s="176"/>
      <c r="AM47" s="152">
        <v>250</v>
      </c>
      <c r="AN47" s="152">
        <v>243</v>
      </c>
      <c r="AO47" s="152">
        <v>235</v>
      </c>
      <c r="AP47" s="103">
        <v>260</v>
      </c>
      <c r="AQ47" s="103">
        <v>988</v>
      </c>
      <c r="AR47" s="104"/>
      <c r="AS47" s="286">
        <v>296</v>
      </c>
      <c r="AT47" s="286">
        <v>299</v>
      </c>
      <c r="AU47" s="286">
        <v>351</v>
      </c>
      <c r="AV47" s="286">
        <v>284</v>
      </c>
      <c r="AW47" s="286">
        <v>1230</v>
      </c>
      <c r="AX47" s="386">
        <v>482</v>
      </c>
      <c r="AY47" s="386">
        <v>450</v>
      </c>
      <c r="AZ47" s="386">
        <v>574</v>
      </c>
      <c r="BA47" s="386">
        <v>415</v>
      </c>
      <c r="BB47" s="386">
        <v>1921</v>
      </c>
      <c r="BC47" s="386">
        <v>684</v>
      </c>
      <c r="BD47" s="386">
        <v>602</v>
      </c>
      <c r="BE47" s="431">
        <v>573</v>
      </c>
    </row>
    <row r="48" spans="1:57" ht="11.25">
      <c r="A48" s="585" t="s">
        <v>256</v>
      </c>
      <c r="B48" s="99"/>
      <c r="C48" s="134">
        <v>341</v>
      </c>
      <c r="D48" s="135">
        <v>347</v>
      </c>
      <c r="E48" s="135">
        <v>333</v>
      </c>
      <c r="F48" s="135">
        <v>357</v>
      </c>
      <c r="G48" s="135">
        <v>1378</v>
      </c>
      <c r="H48" s="99"/>
      <c r="I48" s="134">
        <v>320</v>
      </c>
      <c r="J48" s="135">
        <v>352</v>
      </c>
      <c r="K48" s="135">
        <v>345</v>
      </c>
      <c r="L48" s="135">
        <v>403</v>
      </c>
      <c r="M48" s="135">
        <v>1420</v>
      </c>
      <c r="N48" s="136"/>
      <c r="O48" s="134">
        <v>329</v>
      </c>
      <c r="P48" s="135">
        <v>349</v>
      </c>
      <c r="Q48" s="135">
        <v>324</v>
      </c>
      <c r="R48" s="135">
        <v>390</v>
      </c>
      <c r="S48" s="19">
        <v>1392</v>
      </c>
      <c r="U48" s="134">
        <v>353</v>
      </c>
      <c r="V48" s="135">
        <v>360</v>
      </c>
      <c r="W48" s="135">
        <v>362</v>
      </c>
      <c r="X48" s="135">
        <v>456</v>
      </c>
      <c r="Y48" s="135">
        <f t="shared" si="6"/>
        <v>1531</v>
      </c>
      <c r="Z48" s="136"/>
      <c r="AA48" s="134">
        <v>369</v>
      </c>
      <c r="AB48" s="135">
        <v>419</v>
      </c>
      <c r="AC48" s="135">
        <v>406</v>
      </c>
      <c r="AD48" s="135">
        <v>455</v>
      </c>
      <c r="AE48" s="135">
        <v>1649</v>
      </c>
      <c r="AG48" s="134">
        <v>389</v>
      </c>
      <c r="AH48" s="120">
        <v>434</v>
      </c>
      <c r="AI48" s="120">
        <v>458</v>
      </c>
      <c r="AJ48" s="120">
        <v>486</v>
      </c>
      <c r="AK48" s="152">
        <v>1767</v>
      </c>
      <c r="AL48" s="176"/>
      <c r="AM48" s="152">
        <v>430</v>
      </c>
      <c r="AN48" s="152">
        <v>413</v>
      </c>
      <c r="AO48" s="152">
        <v>416</v>
      </c>
      <c r="AP48" s="103">
        <v>457</v>
      </c>
      <c r="AQ48" s="103">
        <v>1716</v>
      </c>
      <c r="AR48" s="104"/>
      <c r="AS48" s="286">
        <v>425</v>
      </c>
      <c r="AT48" s="286">
        <v>457</v>
      </c>
      <c r="AU48" s="286">
        <v>457</v>
      </c>
      <c r="AV48" s="286">
        <v>545</v>
      </c>
      <c r="AW48" s="286">
        <v>1884</v>
      </c>
      <c r="AX48" s="386">
        <v>476</v>
      </c>
      <c r="AY48" s="386">
        <v>530</v>
      </c>
      <c r="AZ48" s="386">
        <v>548</v>
      </c>
      <c r="BA48" s="386">
        <v>684</v>
      </c>
      <c r="BB48" s="386">
        <v>2238</v>
      </c>
      <c r="BC48" s="386">
        <v>580</v>
      </c>
      <c r="BD48" s="386">
        <v>645</v>
      </c>
      <c r="BE48" s="431">
        <v>659</v>
      </c>
    </row>
    <row r="49" spans="1:57" ht="11.25">
      <c r="A49" s="579" t="s">
        <v>257</v>
      </c>
      <c r="B49" s="99"/>
      <c r="C49" s="137">
        <v>57</v>
      </c>
      <c r="D49" s="138">
        <v>57</v>
      </c>
      <c r="E49" s="138">
        <v>52</v>
      </c>
      <c r="F49" s="138">
        <v>68</v>
      </c>
      <c r="G49" s="29">
        <v>234</v>
      </c>
      <c r="H49" s="99"/>
      <c r="I49" s="137">
        <v>58</v>
      </c>
      <c r="J49" s="138">
        <v>54</v>
      </c>
      <c r="K49" s="138">
        <v>54</v>
      </c>
      <c r="L49" s="29">
        <v>67</v>
      </c>
      <c r="M49" s="29">
        <v>233</v>
      </c>
      <c r="N49" s="139"/>
      <c r="O49" s="66">
        <v>51</v>
      </c>
      <c r="P49" s="29">
        <v>52</v>
      </c>
      <c r="Q49" s="29">
        <v>57</v>
      </c>
      <c r="R49" s="29">
        <v>68</v>
      </c>
      <c r="S49" s="19">
        <v>228</v>
      </c>
      <c r="U49" s="66">
        <v>52</v>
      </c>
      <c r="V49" s="29">
        <v>56</v>
      </c>
      <c r="W49" s="29">
        <v>53</v>
      </c>
      <c r="X49" s="29">
        <v>54</v>
      </c>
      <c r="Y49" s="29">
        <f t="shared" si="6"/>
        <v>215</v>
      </c>
      <c r="Z49" s="139"/>
      <c r="AA49" s="134">
        <v>50</v>
      </c>
      <c r="AB49" s="135">
        <v>53</v>
      </c>
      <c r="AC49" s="135">
        <v>55</v>
      </c>
      <c r="AD49" s="135">
        <v>58</v>
      </c>
      <c r="AE49" s="135">
        <v>216</v>
      </c>
      <c r="AG49" s="134">
        <v>59</v>
      </c>
      <c r="AH49" s="120">
        <v>62</v>
      </c>
      <c r="AI49" s="120">
        <v>59</v>
      </c>
      <c r="AJ49" s="120">
        <v>59</v>
      </c>
      <c r="AK49" s="152">
        <v>239</v>
      </c>
      <c r="AL49" s="176"/>
      <c r="AM49" s="152">
        <v>57</v>
      </c>
      <c r="AN49" s="152">
        <v>58</v>
      </c>
      <c r="AO49" s="152">
        <v>53</v>
      </c>
      <c r="AP49" s="103">
        <v>59</v>
      </c>
      <c r="AQ49" s="103">
        <v>227</v>
      </c>
      <c r="AR49" s="104"/>
      <c r="AS49" s="286">
        <v>68</v>
      </c>
      <c r="AT49" s="286">
        <v>71</v>
      </c>
      <c r="AU49" s="286">
        <v>67</v>
      </c>
      <c r="AV49" s="286">
        <v>72</v>
      </c>
      <c r="AW49" s="286">
        <v>278</v>
      </c>
      <c r="AX49" s="386">
        <v>76</v>
      </c>
      <c r="AY49" s="386">
        <v>81</v>
      </c>
      <c r="AZ49" s="386">
        <v>84</v>
      </c>
      <c r="BA49" s="386">
        <v>87</v>
      </c>
      <c r="BB49" s="386">
        <v>328</v>
      </c>
      <c r="BC49" s="386">
        <v>89</v>
      </c>
      <c r="BD49" s="386">
        <v>87</v>
      </c>
      <c r="BE49" s="431">
        <v>84</v>
      </c>
    </row>
    <row r="50" spans="1:57" ht="11.25">
      <c r="A50" s="579" t="s">
        <v>258</v>
      </c>
      <c r="B50" s="99"/>
      <c r="C50" s="137">
        <v>88</v>
      </c>
      <c r="D50" s="138">
        <v>93</v>
      </c>
      <c r="E50" s="138">
        <v>95</v>
      </c>
      <c r="F50" s="138">
        <v>122</v>
      </c>
      <c r="G50" s="29">
        <v>398</v>
      </c>
      <c r="H50" s="99"/>
      <c r="I50" s="137">
        <v>88</v>
      </c>
      <c r="J50" s="138">
        <v>95</v>
      </c>
      <c r="K50" s="138">
        <v>100</v>
      </c>
      <c r="L50" s="29">
        <v>126</v>
      </c>
      <c r="M50" s="29">
        <v>409</v>
      </c>
      <c r="N50" s="139"/>
      <c r="O50" s="66">
        <v>81</v>
      </c>
      <c r="P50" s="29">
        <v>92</v>
      </c>
      <c r="Q50" s="29">
        <v>98</v>
      </c>
      <c r="R50" s="29">
        <v>121</v>
      </c>
      <c r="S50" s="19">
        <v>392</v>
      </c>
      <c r="U50" s="66">
        <v>98</v>
      </c>
      <c r="V50" s="29">
        <v>102</v>
      </c>
      <c r="W50" s="29">
        <v>106</v>
      </c>
      <c r="X50" s="29">
        <v>140</v>
      </c>
      <c r="Y50" s="29">
        <f t="shared" si="6"/>
        <v>446</v>
      </c>
      <c r="Z50" s="139"/>
      <c r="AA50" s="134">
        <v>108</v>
      </c>
      <c r="AB50" s="135">
        <v>131</v>
      </c>
      <c r="AC50" s="135">
        <v>122</v>
      </c>
      <c r="AD50" s="135">
        <v>150</v>
      </c>
      <c r="AE50" s="135">
        <v>511</v>
      </c>
      <c r="AG50" s="134">
        <v>109</v>
      </c>
      <c r="AH50" s="120">
        <v>130</v>
      </c>
      <c r="AI50" s="120">
        <v>132</v>
      </c>
      <c r="AJ50" s="120">
        <v>167</v>
      </c>
      <c r="AK50" s="152">
        <v>538</v>
      </c>
      <c r="AL50" s="176"/>
      <c r="AM50" s="152">
        <v>123</v>
      </c>
      <c r="AN50" s="152">
        <v>122</v>
      </c>
      <c r="AO50" s="152">
        <v>142</v>
      </c>
      <c r="AP50" s="103">
        <v>143</v>
      </c>
      <c r="AQ50" s="103">
        <v>530</v>
      </c>
      <c r="AR50" s="104"/>
      <c r="AS50" s="286">
        <v>121</v>
      </c>
      <c r="AT50" s="286">
        <v>133</v>
      </c>
      <c r="AU50" s="286">
        <v>134</v>
      </c>
      <c r="AV50" s="286">
        <v>181</v>
      </c>
      <c r="AW50" s="286">
        <v>569</v>
      </c>
      <c r="AX50" s="386">
        <v>138</v>
      </c>
      <c r="AY50" s="386">
        <v>170</v>
      </c>
      <c r="AZ50" s="386">
        <v>174</v>
      </c>
      <c r="BA50" s="386">
        <v>217</v>
      </c>
      <c r="BB50" s="386">
        <v>699</v>
      </c>
      <c r="BC50" s="386">
        <v>171</v>
      </c>
      <c r="BD50" s="386">
        <v>209</v>
      </c>
      <c r="BE50" s="431">
        <v>195</v>
      </c>
    </row>
    <row r="51" spans="1:57" ht="11.25">
      <c r="A51" s="579" t="s">
        <v>259</v>
      </c>
      <c r="B51" s="99"/>
      <c r="C51" s="137">
        <v>98</v>
      </c>
      <c r="D51" s="138">
        <v>97</v>
      </c>
      <c r="E51" s="138">
        <v>92</v>
      </c>
      <c r="F51" s="138">
        <v>73</v>
      </c>
      <c r="G51" s="29">
        <v>360</v>
      </c>
      <c r="H51" s="99"/>
      <c r="I51" s="137">
        <v>86</v>
      </c>
      <c r="J51" s="138">
        <v>98</v>
      </c>
      <c r="K51" s="138">
        <v>97</v>
      </c>
      <c r="L51" s="29">
        <v>107</v>
      </c>
      <c r="M51" s="29">
        <v>388</v>
      </c>
      <c r="N51" s="139"/>
      <c r="O51" s="66">
        <v>105</v>
      </c>
      <c r="P51" s="29">
        <v>102</v>
      </c>
      <c r="Q51" s="29">
        <v>77</v>
      </c>
      <c r="R51" s="29">
        <v>83</v>
      </c>
      <c r="S51" s="19">
        <v>367</v>
      </c>
      <c r="U51" s="66">
        <v>104</v>
      </c>
      <c r="V51" s="29">
        <v>103</v>
      </c>
      <c r="W51" s="29">
        <v>114</v>
      </c>
      <c r="X51" s="29">
        <v>116</v>
      </c>
      <c r="Y51" s="29">
        <f t="shared" si="6"/>
        <v>437</v>
      </c>
      <c r="Z51" s="139"/>
      <c r="AA51" s="134">
        <v>117</v>
      </c>
      <c r="AB51" s="135">
        <v>125</v>
      </c>
      <c r="AC51" s="135">
        <v>120</v>
      </c>
      <c r="AD51" s="135">
        <v>115</v>
      </c>
      <c r="AE51" s="135">
        <v>477</v>
      </c>
      <c r="AG51" s="134">
        <v>122</v>
      </c>
      <c r="AH51" s="120">
        <v>125</v>
      </c>
      <c r="AI51" s="120">
        <v>149</v>
      </c>
      <c r="AJ51" s="120">
        <v>138</v>
      </c>
      <c r="AK51" s="152">
        <v>534</v>
      </c>
      <c r="AL51" s="176"/>
      <c r="AM51" s="152">
        <v>140</v>
      </c>
      <c r="AN51" s="152">
        <v>114</v>
      </c>
      <c r="AO51" s="152">
        <v>107</v>
      </c>
      <c r="AP51" s="103">
        <v>126</v>
      </c>
      <c r="AQ51" s="103">
        <v>487</v>
      </c>
      <c r="AR51" s="104"/>
      <c r="AS51" s="286">
        <v>128</v>
      </c>
      <c r="AT51" s="286">
        <v>123</v>
      </c>
      <c r="AU51" s="286">
        <v>131</v>
      </c>
      <c r="AV51" s="286">
        <v>128</v>
      </c>
      <c r="AW51" s="286">
        <v>510</v>
      </c>
      <c r="AX51" s="386">
        <v>131</v>
      </c>
      <c r="AY51" s="386">
        <v>140</v>
      </c>
      <c r="AZ51" s="386">
        <v>145</v>
      </c>
      <c r="BA51" s="386">
        <v>201</v>
      </c>
      <c r="BB51" s="386">
        <v>617</v>
      </c>
      <c r="BC51" s="386">
        <v>173</v>
      </c>
      <c r="BD51" s="386">
        <v>173</v>
      </c>
      <c r="BE51" s="431">
        <v>202</v>
      </c>
    </row>
    <row r="52" spans="1:57" ht="11.25">
      <c r="A52" s="585" t="s">
        <v>107</v>
      </c>
      <c r="B52" s="99"/>
      <c r="C52" s="134">
        <v>395</v>
      </c>
      <c r="D52" s="135">
        <v>353</v>
      </c>
      <c r="E52" s="135">
        <v>383</v>
      </c>
      <c r="F52" s="135">
        <v>389</v>
      </c>
      <c r="G52" s="135">
        <v>1520</v>
      </c>
      <c r="H52" s="99"/>
      <c r="I52" s="134">
        <v>393</v>
      </c>
      <c r="J52" s="135">
        <v>417</v>
      </c>
      <c r="K52" s="135">
        <v>325</v>
      </c>
      <c r="L52" s="135">
        <v>304</v>
      </c>
      <c r="M52" s="135">
        <v>1439</v>
      </c>
      <c r="N52" s="136"/>
      <c r="O52" s="134">
        <v>293</v>
      </c>
      <c r="P52" s="135">
        <v>313</v>
      </c>
      <c r="Q52" s="135">
        <v>336</v>
      </c>
      <c r="R52" s="135">
        <v>396</v>
      </c>
      <c r="S52" s="19">
        <v>1338</v>
      </c>
      <c r="U52" s="134">
        <v>466</v>
      </c>
      <c r="V52" s="135">
        <v>405</v>
      </c>
      <c r="W52" s="135">
        <v>438</v>
      </c>
      <c r="X52" s="135">
        <v>456</v>
      </c>
      <c r="Y52" s="135">
        <f t="shared" si="6"/>
        <v>1765</v>
      </c>
      <c r="Z52" s="136"/>
      <c r="AA52" s="134">
        <v>434</v>
      </c>
      <c r="AB52" s="135">
        <v>466</v>
      </c>
      <c r="AC52" s="135">
        <v>397</v>
      </c>
      <c r="AD52" s="135">
        <v>374</v>
      </c>
      <c r="AE52" s="135">
        <v>1671</v>
      </c>
      <c r="AG52" s="134">
        <v>420</v>
      </c>
      <c r="AH52" s="120">
        <v>446</v>
      </c>
      <c r="AI52" s="120">
        <v>326</v>
      </c>
      <c r="AJ52" s="120">
        <v>328</v>
      </c>
      <c r="AK52" s="152">
        <v>1520</v>
      </c>
      <c r="AL52" s="176"/>
      <c r="AM52" s="152">
        <v>344</v>
      </c>
      <c r="AN52" s="152">
        <v>334</v>
      </c>
      <c r="AO52" s="152">
        <v>442</v>
      </c>
      <c r="AP52" s="103">
        <v>505</v>
      </c>
      <c r="AQ52" s="103">
        <v>1625</v>
      </c>
      <c r="AR52" s="104"/>
      <c r="AS52" s="286">
        <v>718</v>
      </c>
      <c r="AT52" s="286">
        <v>917</v>
      </c>
      <c r="AU52" s="286">
        <v>904</v>
      </c>
      <c r="AV52" s="286">
        <v>1009</v>
      </c>
      <c r="AW52" s="286">
        <v>3548</v>
      </c>
      <c r="AX52" s="386">
        <v>844</v>
      </c>
      <c r="AY52" s="386">
        <v>809</v>
      </c>
      <c r="AZ52" s="386">
        <v>647</v>
      </c>
      <c r="BA52" s="386">
        <v>746</v>
      </c>
      <c r="BB52" s="386">
        <v>3046</v>
      </c>
      <c r="BC52" s="386">
        <v>1068</v>
      </c>
      <c r="BD52" s="386">
        <v>905</v>
      </c>
      <c r="BE52" s="431">
        <v>824</v>
      </c>
    </row>
    <row r="53" spans="1:57" ht="11.25">
      <c r="A53" s="585" t="s">
        <v>108</v>
      </c>
      <c r="B53" s="99"/>
      <c r="C53" s="134">
        <v>98</v>
      </c>
      <c r="D53" s="135">
        <v>89</v>
      </c>
      <c r="E53" s="135">
        <v>93</v>
      </c>
      <c r="F53" s="135">
        <v>96</v>
      </c>
      <c r="G53" s="135">
        <v>376</v>
      </c>
      <c r="H53" s="99"/>
      <c r="I53" s="134">
        <v>100</v>
      </c>
      <c r="J53" s="135">
        <v>90</v>
      </c>
      <c r="K53" s="135">
        <v>97</v>
      </c>
      <c r="L53" s="135">
        <v>98</v>
      </c>
      <c r="M53" s="135">
        <v>385</v>
      </c>
      <c r="N53" s="136"/>
      <c r="O53" s="134">
        <v>97</v>
      </c>
      <c r="P53" s="135">
        <v>108</v>
      </c>
      <c r="Q53" s="135">
        <v>92</v>
      </c>
      <c r="R53" s="135">
        <v>90</v>
      </c>
      <c r="S53" s="19">
        <v>387</v>
      </c>
      <c r="U53" s="134">
        <v>107</v>
      </c>
      <c r="V53" s="135">
        <v>101</v>
      </c>
      <c r="W53" s="135">
        <v>102</v>
      </c>
      <c r="X53" s="135">
        <v>79</v>
      </c>
      <c r="Y53" s="135">
        <f t="shared" si="6"/>
        <v>389</v>
      </c>
      <c r="Z53" s="136"/>
      <c r="AA53" s="134">
        <v>109</v>
      </c>
      <c r="AB53" s="135">
        <v>109</v>
      </c>
      <c r="AC53" s="135">
        <v>97</v>
      </c>
      <c r="AD53" s="135">
        <v>97</v>
      </c>
      <c r="AE53" s="135">
        <v>412</v>
      </c>
      <c r="AG53" s="134">
        <v>103</v>
      </c>
      <c r="AH53" s="120">
        <v>97</v>
      </c>
      <c r="AI53" s="120">
        <v>101</v>
      </c>
      <c r="AJ53" s="120">
        <v>96</v>
      </c>
      <c r="AK53" s="152">
        <v>397</v>
      </c>
      <c r="AL53" s="176"/>
      <c r="AM53" s="152">
        <v>107</v>
      </c>
      <c r="AN53" s="152">
        <v>99</v>
      </c>
      <c r="AO53" s="152">
        <v>83</v>
      </c>
      <c r="AP53" s="103">
        <v>108</v>
      </c>
      <c r="AQ53" s="103">
        <v>397</v>
      </c>
      <c r="AR53" s="104"/>
      <c r="AS53" s="286">
        <v>140</v>
      </c>
      <c r="AT53" s="286">
        <v>143</v>
      </c>
      <c r="AU53" s="286">
        <v>189</v>
      </c>
      <c r="AV53" s="286">
        <v>-74</v>
      </c>
      <c r="AW53" s="286">
        <v>398</v>
      </c>
      <c r="AX53" s="386">
        <v>213</v>
      </c>
      <c r="AY53" s="386">
        <v>22</v>
      </c>
      <c r="AZ53" s="386">
        <v>112</v>
      </c>
      <c r="BA53" s="386">
        <v>140</v>
      </c>
      <c r="BB53" s="386">
        <v>487</v>
      </c>
      <c r="BC53" s="386">
        <v>241</v>
      </c>
      <c r="BD53" s="386">
        <v>55</v>
      </c>
      <c r="BE53" s="431">
        <v>157</v>
      </c>
    </row>
    <row r="54" spans="1:57" ht="11.25">
      <c r="A54" s="585" t="s">
        <v>110</v>
      </c>
      <c r="B54" s="99"/>
      <c r="C54" s="134">
        <v>14</v>
      </c>
      <c r="D54" s="135">
        <v>35</v>
      </c>
      <c r="E54" s="135">
        <v>14</v>
      </c>
      <c r="F54" s="135">
        <v>46</v>
      </c>
      <c r="G54" s="135">
        <v>109</v>
      </c>
      <c r="H54" s="99"/>
      <c r="I54" s="134">
        <v>18</v>
      </c>
      <c r="J54" s="135">
        <v>71</v>
      </c>
      <c r="K54" s="135">
        <v>16</v>
      </c>
      <c r="L54" s="135">
        <v>50</v>
      </c>
      <c r="M54" s="135">
        <v>155</v>
      </c>
      <c r="N54" s="136"/>
      <c r="O54" s="134">
        <v>19</v>
      </c>
      <c r="P54" s="135">
        <v>26</v>
      </c>
      <c r="Q54" s="135">
        <v>62</v>
      </c>
      <c r="R54" s="135">
        <v>54</v>
      </c>
      <c r="S54" s="19">
        <f>105+19+37</f>
        <v>161</v>
      </c>
      <c r="U54" s="134">
        <v>20</v>
      </c>
      <c r="V54" s="135">
        <v>40</v>
      </c>
      <c r="W54" s="135">
        <v>29</v>
      </c>
      <c r="X54" s="135">
        <v>37</v>
      </c>
      <c r="Y54" s="135">
        <f t="shared" si="6"/>
        <v>126</v>
      </c>
      <c r="Z54" s="136"/>
      <c r="AA54" s="134">
        <v>29</v>
      </c>
      <c r="AB54" s="135">
        <v>15</v>
      </c>
      <c r="AC54" s="135">
        <v>22</v>
      </c>
      <c r="AD54" s="135">
        <v>26</v>
      </c>
      <c r="AE54" s="135">
        <v>92</v>
      </c>
      <c r="AG54" s="134">
        <v>21</v>
      </c>
      <c r="AH54" s="120">
        <v>39</v>
      </c>
      <c r="AI54" s="120">
        <v>14</v>
      </c>
      <c r="AJ54" s="120">
        <v>50</v>
      </c>
      <c r="AK54" s="152">
        <v>124</v>
      </c>
      <c r="AL54" s="176"/>
      <c r="AM54" s="152">
        <v>16</v>
      </c>
      <c r="AN54" s="152">
        <v>36</v>
      </c>
      <c r="AO54" s="152">
        <v>20</v>
      </c>
      <c r="AP54" s="103">
        <v>51</v>
      </c>
      <c r="AQ54" s="103">
        <f>53+31+39</f>
        <v>123</v>
      </c>
      <c r="AR54" s="104"/>
      <c r="AS54" s="286">
        <v>13</v>
      </c>
      <c r="AT54" s="286">
        <v>60</v>
      </c>
      <c r="AU54" s="286">
        <f>-8+26</f>
        <v>18</v>
      </c>
      <c r="AV54" s="286">
        <v>54</v>
      </c>
      <c r="AW54" s="286">
        <v>145</v>
      </c>
      <c r="AX54" s="386">
        <v>12</v>
      </c>
      <c r="AY54" s="386">
        <v>33</v>
      </c>
      <c r="AZ54" s="386">
        <v>13</v>
      </c>
      <c r="BA54" s="386">
        <v>43</v>
      </c>
      <c r="BB54" s="386">
        <v>101</v>
      </c>
      <c r="BC54" s="386">
        <v>33</v>
      </c>
      <c r="BD54" s="386">
        <v>59</v>
      </c>
      <c r="BE54" s="416">
        <v>28</v>
      </c>
    </row>
    <row r="55" spans="1:57" ht="11.25">
      <c r="A55" s="577" t="s">
        <v>111</v>
      </c>
      <c r="B55" s="129"/>
      <c r="C55" s="140">
        <f>C43+C44+C45+C48+C52+C53+C54</f>
        <v>3300</v>
      </c>
      <c r="D55" s="141">
        <f>D43+D44+D45+D48+D52+D53+D54</f>
        <v>3186</v>
      </c>
      <c r="E55" s="141">
        <f>E43+E44+E45+E48+E52+E53+E54</f>
        <v>3328</v>
      </c>
      <c r="F55" s="141">
        <f>F43+F44+F45+F48+F52+F53+F54</f>
        <v>3279</v>
      </c>
      <c r="G55" s="141">
        <f>G43+G44+G45+G48+G52+G53+G54</f>
        <v>13093</v>
      </c>
      <c r="H55" s="129"/>
      <c r="I55" s="140">
        <f>I43+I44+I45+I48+I52+I53+I54</f>
        <v>3118</v>
      </c>
      <c r="J55" s="141">
        <f>J43+J44+J45+J48+J52+J53+J54</f>
        <v>3357</v>
      </c>
      <c r="K55" s="141">
        <f>K43+K44+K45+K48+K52+K53+K54</f>
        <v>3017</v>
      </c>
      <c r="L55" s="141">
        <f>L43+L44+L45+L48+L52+L53+L54</f>
        <v>3290</v>
      </c>
      <c r="M55" s="141">
        <f>M43+M44+M45+M48+M52+M53+M54</f>
        <v>12782</v>
      </c>
      <c r="N55" s="142"/>
      <c r="O55" s="140">
        <f>O43+O44+O45+O48+O52+O53+O54</f>
        <v>3079</v>
      </c>
      <c r="P55" s="141">
        <f>P43+P44+P45+P48+P52+P53+P54</f>
        <v>3219</v>
      </c>
      <c r="Q55" s="141">
        <f>Q43+Q44+Q45+Q48+Q52+Q53+Q54</f>
        <v>2999</v>
      </c>
      <c r="R55" s="141">
        <f>R43+R44+R45+R48+R52+R53+R54</f>
        <v>3479</v>
      </c>
      <c r="S55" s="16">
        <f>S43+S44+S45+S48+S52+S53+S54</f>
        <v>12776</v>
      </c>
      <c r="U55" s="140">
        <f>U43+U44+U45+U48+U52+U53+U54</f>
        <v>3337</v>
      </c>
      <c r="V55" s="141">
        <f>V43+V44+V45+V48+V52+V53+V54</f>
        <v>3398</v>
      </c>
      <c r="W55" s="141">
        <f>W43+W44+W45+W48+W52+W53+W54</f>
        <v>3570</v>
      </c>
      <c r="X55" s="141">
        <f>X43+X44+X45+X48+X52+X53+X54</f>
        <v>3619</v>
      </c>
      <c r="Y55" s="141">
        <f t="shared" si="6"/>
        <v>13924</v>
      </c>
      <c r="Z55" s="142"/>
      <c r="AA55" s="140">
        <f>AA43+AA44+AA45+AA48+AA52+AA53+AA54</f>
        <v>3421</v>
      </c>
      <c r="AB55" s="141">
        <f>AB43+AB44+AB45+AB48+AB52+AB53+AB54</f>
        <v>3342</v>
      </c>
      <c r="AC55" s="141">
        <f>AC43+AC44+AC45+AC48+AC52+AC53+AC54</f>
        <v>3337</v>
      </c>
      <c r="AD55" s="141">
        <f>AD43+AD44+AD45+AD48+AD52+AD53+AD54</f>
        <v>3533</v>
      </c>
      <c r="AE55" s="141">
        <f>AE43+AE44+AE45+AE48+AE52+AE53+AE54</f>
        <v>13633</v>
      </c>
      <c r="AG55" s="140">
        <f>AG43+AG44+AG45+AG48+AG52+AG53+AG54</f>
        <v>3677</v>
      </c>
      <c r="AH55" s="148">
        <f>AH43+AH44+AH45+AH48+AH52+AH53+AH54</f>
        <v>3756</v>
      </c>
      <c r="AI55" s="148">
        <f>+AI43+AI44+AI45+AI48+AI52+AI53+AI54</f>
        <v>3692</v>
      </c>
      <c r="AJ55" s="148">
        <f>+AJ43+AJ44+AJ45+AJ48+AJ52+AJ53+AJ54</f>
        <v>3771</v>
      </c>
      <c r="AK55" s="172">
        <v>14896</v>
      </c>
      <c r="AL55" s="176"/>
      <c r="AM55" s="172">
        <v>3636</v>
      </c>
      <c r="AN55" s="172">
        <v>3513</v>
      </c>
      <c r="AO55" s="172">
        <f>+AO43+AO44+AO45+AO48+AO52+AO53+AO54</f>
        <v>3941</v>
      </c>
      <c r="AP55" s="266">
        <f>AP43+AP44+AP45+AP48+AP52+AP53+AP54</f>
        <v>4296</v>
      </c>
      <c r="AQ55" s="266">
        <f>AQ43+AQ44+AQ45+AQ48+AQ52+AQ53+AQ54</f>
        <v>15386</v>
      </c>
      <c r="AR55" s="276"/>
      <c r="AS55" s="287">
        <f aca="true" t="shared" si="7" ref="AS55:BB55">AS43+AS44+AS45+AS48+AS52+AS53+AS54</f>
        <v>4954</v>
      </c>
      <c r="AT55" s="287">
        <f t="shared" si="7"/>
        <v>5724</v>
      </c>
      <c r="AU55" s="287">
        <f t="shared" si="7"/>
        <v>5555</v>
      </c>
      <c r="AV55" s="287">
        <f t="shared" si="7"/>
        <v>5668</v>
      </c>
      <c r="AW55" s="287">
        <f t="shared" si="7"/>
        <v>21901</v>
      </c>
      <c r="AX55" s="387">
        <f t="shared" si="7"/>
        <v>6207</v>
      </c>
      <c r="AY55" s="426">
        <f t="shared" si="7"/>
        <v>6743</v>
      </c>
      <c r="AZ55" s="426">
        <f t="shared" si="7"/>
        <v>6155</v>
      </c>
      <c r="BA55" s="426">
        <v>6790</v>
      </c>
      <c r="BB55" s="426">
        <f t="shared" si="7"/>
        <v>25895</v>
      </c>
      <c r="BC55" s="426">
        <v>7323</v>
      </c>
      <c r="BD55" s="426">
        <f>+BD43+BD44+BD45+BD48+BD52+BD53+BD54</f>
        <v>6827</v>
      </c>
      <c r="BE55" s="427">
        <f>+BE43+BE44+BE45+BE48+BE52+BE53+BE54</f>
        <v>6341</v>
      </c>
    </row>
    <row r="56" spans="1:57" ht="11.25">
      <c r="A56" s="585" t="s">
        <v>112</v>
      </c>
      <c r="B56" s="99"/>
      <c r="C56" s="134">
        <v>30</v>
      </c>
      <c r="D56" s="143">
        <v>49</v>
      </c>
      <c r="E56" s="135">
        <v>28</v>
      </c>
      <c r="F56" s="135">
        <v>29</v>
      </c>
      <c r="G56" s="135">
        <v>136</v>
      </c>
      <c r="H56" s="99"/>
      <c r="I56" s="134">
        <v>33</v>
      </c>
      <c r="J56" s="135">
        <v>30</v>
      </c>
      <c r="K56" s="135">
        <v>40</v>
      </c>
      <c r="L56" s="135">
        <v>44</v>
      </c>
      <c r="M56" s="135">
        <v>147</v>
      </c>
      <c r="N56" s="136"/>
      <c r="O56" s="134">
        <v>34</v>
      </c>
      <c r="P56" s="135">
        <v>47</v>
      </c>
      <c r="Q56" s="135">
        <v>26</v>
      </c>
      <c r="R56" s="135">
        <v>38</v>
      </c>
      <c r="S56" s="19">
        <v>145</v>
      </c>
      <c r="U56" s="134">
        <v>56</v>
      </c>
      <c r="V56" s="135">
        <v>51</v>
      </c>
      <c r="W56" s="135">
        <v>40</v>
      </c>
      <c r="X56" s="135">
        <v>35</v>
      </c>
      <c r="Y56" s="135">
        <f t="shared" si="6"/>
        <v>182</v>
      </c>
      <c r="Z56" s="136"/>
      <c r="AA56" s="134">
        <v>41</v>
      </c>
      <c r="AB56" s="135">
        <v>51</v>
      </c>
      <c r="AC56" s="135">
        <v>40</v>
      </c>
      <c r="AD56" s="135">
        <v>45</v>
      </c>
      <c r="AE56" s="135">
        <v>177</v>
      </c>
      <c r="AG56" s="134">
        <v>62</v>
      </c>
      <c r="AH56" s="120">
        <v>56</v>
      </c>
      <c r="AI56" s="120">
        <v>50</v>
      </c>
      <c r="AJ56" s="120">
        <v>32</v>
      </c>
      <c r="AK56" s="152">
        <v>200</v>
      </c>
      <c r="AL56" s="176"/>
      <c r="AM56" s="152">
        <v>52</v>
      </c>
      <c r="AN56" s="152">
        <v>162</v>
      </c>
      <c r="AO56" s="152">
        <v>52</v>
      </c>
      <c r="AP56" s="103">
        <v>93</v>
      </c>
      <c r="AQ56" s="103">
        <v>359</v>
      </c>
      <c r="AR56" s="104"/>
      <c r="AS56" s="286">
        <v>67</v>
      </c>
      <c r="AT56" s="286">
        <v>64</v>
      </c>
      <c r="AU56" s="286">
        <v>81</v>
      </c>
      <c r="AV56" s="286">
        <v>127</v>
      </c>
      <c r="AW56" s="286">
        <v>339</v>
      </c>
      <c r="AX56" s="386">
        <v>119</v>
      </c>
      <c r="AY56" s="386">
        <v>11</v>
      </c>
      <c r="AZ56" s="386">
        <v>201</v>
      </c>
      <c r="BA56" s="386">
        <v>118</v>
      </c>
      <c r="BB56" s="386">
        <v>449</v>
      </c>
      <c r="BC56" s="386">
        <v>202</v>
      </c>
      <c r="BD56" s="386">
        <v>115</v>
      </c>
      <c r="BE56" s="416">
        <v>118</v>
      </c>
    </row>
    <row r="57" spans="1:57" ht="11.25">
      <c r="A57" s="585" t="s">
        <v>113</v>
      </c>
      <c r="B57" s="99"/>
      <c r="C57" s="134">
        <v>-269</v>
      </c>
      <c r="D57" s="143">
        <v>-95</v>
      </c>
      <c r="E57" s="135">
        <v>-106</v>
      </c>
      <c r="F57" s="135">
        <v>504</v>
      </c>
      <c r="G57" s="135">
        <v>34</v>
      </c>
      <c r="H57" s="99"/>
      <c r="I57" s="134">
        <v>-229</v>
      </c>
      <c r="J57" s="135">
        <v>-99</v>
      </c>
      <c r="K57" s="135">
        <v>-9</v>
      </c>
      <c r="L57" s="135">
        <v>181</v>
      </c>
      <c r="M57" s="135">
        <v>-156</v>
      </c>
      <c r="N57" s="136"/>
      <c r="O57" s="134">
        <v>-561</v>
      </c>
      <c r="P57" s="135">
        <v>-213</v>
      </c>
      <c r="Q57" s="135">
        <v>54</v>
      </c>
      <c r="R57" s="135">
        <v>434</v>
      </c>
      <c r="S57" s="19">
        <v>-286</v>
      </c>
      <c r="U57" s="134">
        <v>-534</v>
      </c>
      <c r="V57" s="135">
        <v>-282</v>
      </c>
      <c r="W57" s="135">
        <v>-568</v>
      </c>
      <c r="X57" s="135">
        <v>287</v>
      </c>
      <c r="Y57" s="135">
        <f t="shared" si="6"/>
        <v>-1097</v>
      </c>
      <c r="Z57" s="136"/>
      <c r="AA57" s="134">
        <v>-744</v>
      </c>
      <c r="AB57" s="135">
        <v>-28</v>
      </c>
      <c r="AC57" s="135">
        <v>170</v>
      </c>
      <c r="AD57" s="135">
        <v>366</v>
      </c>
      <c r="AE57" s="135">
        <v>-236</v>
      </c>
      <c r="AG57" s="134">
        <v>-117</v>
      </c>
      <c r="AH57" s="120">
        <v>135</v>
      </c>
      <c r="AI57" s="120">
        <v>-124</v>
      </c>
      <c r="AJ57" s="120">
        <v>475</v>
      </c>
      <c r="AK57" s="152">
        <v>369</v>
      </c>
      <c r="AL57" s="176"/>
      <c r="AM57" s="120">
        <v>-34</v>
      </c>
      <c r="AN57" s="120">
        <v>315</v>
      </c>
      <c r="AO57" s="120">
        <v>-311</v>
      </c>
      <c r="AP57" s="19">
        <v>606</v>
      </c>
      <c r="AQ57" s="19">
        <v>576</v>
      </c>
      <c r="AR57" s="54"/>
      <c r="AS57" s="281">
        <v>-770</v>
      </c>
      <c r="AT57" s="281">
        <v>-310</v>
      </c>
      <c r="AU57" s="281">
        <v>-526</v>
      </c>
      <c r="AV57" s="371">
        <v>44</v>
      </c>
      <c r="AW57" s="371">
        <v>-1562</v>
      </c>
      <c r="AX57" s="381">
        <v>-324</v>
      </c>
      <c r="AY57" s="381">
        <v>-195</v>
      </c>
      <c r="AZ57" s="423">
        <v>-356</v>
      </c>
      <c r="BA57" s="423">
        <v>-790</v>
      </c>
      <c r="BB57" s="423">
        <v>-1665</v>
      </c>
      <c r="BC57" s="423">
        <v>-96</v>
      </c>
      <c r="BD57" s="423">
        <v>-196</v>
      </c>
      <c r="BE57" s="428">
        <v>110</v>
      </c>
    </row>
    <row r="58" spans="1:57" ht="11.25">
      <c r="A58" s="585" t="s">
        <v>260</v>
      </c>
      <c r="B58" s="99"/>
      <c r="C58" s="134">
        <v>-37</v>
      </c>
      <c r="D58" s="143">
        <v>-37</v>
      </c>
      <c r="E58" s="135">
        <v>-36</v>
      </c>
      <c r="F58" s="135">
        <v>-33</v>
      </c>
      <c r="G58" s="135">
        <v>-143</v>
      </c>
      <c r="H58" s="99"/>
      <c r="I58" s="134">
        <v>-24</v>
      </c>
      <c r="J58" s="135">
        <v>-29</v>
      </c>
      <c r="K58" s="135">
        <v>-29</v>
      </c>
      <c r="L58" s="135">
        <v>-36</v>
      </c>
      <c r="M58" s="135">
        <v>-118</v>
      </c>
      <c r="N58" s="136"/>
      <c r="O58" s="134">
        <v>-32</v>
      </c>
      <c r="P58" s="135">
        <v>-45</v>
      </c>
      <c r="Q58" s="135">
        <v>-17</v>
      </c>
      <c r="R58" s="135">
        <v>-24</v>
      </c>
      <c r="S58" s="19">
        <v>-118</v>
      </c>
      <c r="U58" s="134">
        <v>-28</v>
      </c>
      <c r="V58" s="135">
        <v>-32</v>
      </c>
      <c r="W58" s="135">
        <v>-22</v>
      </c>
      <c r="X58" s="135">
        <v>-28</v>
      </c>
      <c r="Y58" s="135">
        <f t="shared" si="6"/>
        <v>-110</v>
      </c>
      <c r="Z58" s="136"/>
      <c r="AA58" s="134">
        <v>-32</v>
      </c>
      <c r="AB58" s="135">
        <v>-28</v>
      </c>
      <c r="AC58" s="135">
        <v>-21</v>
      </c>
      <c r="AD58" s="135">
        <v>-33</v>
      </c>
      <c r="AE58" s="135">
        <v>-114</v>
      </c>
      <c r="AG58" s="134">
        <v>-31</v>
      </c>
      <c r="AH58" s="120">
        <v>-40</v>
      </c>
      <c r="AI58" s="120">
        <v>-41</v>
      </c>
      <c r="AJ58" s="120">
        <v>-62</v>
      </c>
      <c r="AK58" s="120">
        <v>-174</v>
      </c>
      <c r="AL58" s="176"/>
      <c r="AM58" s="120">
        <v>-45</v>
      </c>
      <c r="AN58" s="120">
        <v>-38</v>
      </c>
      <c r="AO58" s="120">
        <v>-39</v>
      </c>
      <c r="AP58" s="19">
        <v>-38</v>
      </c>
      <c r="AQ58" s="19">
        <v>-160</v>
      </c>
      <c r="AR58" s="54"/>
      <c r="AS58" s="281">
        <v>-41</v>
      </c>
      <c r="AT58" s="281">
        <v>-38</v>
      </c>
      <c r="AU58" s="281">
        <v>-40</v>
      </c>
      <c r="AV58" s="371">
        <v>-45</v>
      </c>
      <c r="AW58" s="371">
        <v>-164</v>
      </c>
      <c r="AX58" s="381">
        <v>-49</v>
      </c>
      <c r="AY58" s="381">
        <v>-45</v>
      </c>
      <c r="AZ58" s="423">
        <v>-57</v>
      </c>
      <c r="BA58" s="423">
        <v>-65</v>
      </c>
      <c r="BB58" s="423">
        <v>-216</v>
      </c>
      <c r="BC58" s="423">
        <v>-56</v>
      </c>
      <c r="BD58" s="423">
        <v>-50</v>
      </c>
      <c r="BE58" s="428">
        <v>-55</v>
      </c>
    </row>
    <row r="59" spans="1:57" ht="36.75" customHeight="1">
      <c r="A59" s="577" t="s">
        <v>115</v>
      </c>
      <c r="B59" s="129"/>
      <c r="C59" s="140">
        <f>SUM(C55:C58)</f>
        <v>3024</v>
      </c>
      <c r="D59" s="141">
        <f>SUM(D55:D58)</f>
        <v>3103</v>
      </c>
      <c r="E59" s="141">
        <f>SUM(E55:E58)</f>
        <v>3214</v>
      </c>
      <c r="F59" s="141">
        <f>G59-C59-D59-E59</f>
        <v>3779</v>
      </c>
      <c r="G59" s="141">
        <f>SUM(G55:G58)</f>
        <v>13120</v>
      </c>
      <c r="H59" s="129"/>
      <c r="I59" s="140">
        <f>SUM(I55:I58)</f>
        <v>2898</v>
      </c>
      <c r="J59" s="141">
        <f>SUM(J55:J58)</f>
        <v>3259</v>
      </c>
      <c r="K59" s="141">
        <f>SUM(K55:K58)</f>
        <v>3019</v>
      </c>
      <c r="L59" s="141">
        <f>SUM(L55:L58)</f>
        <v>3479</v>
      </c>
      <c r="M59" s="141">
        <f>SUM(M55:M58)</f>
        <v>12655</v>
      </c>
      <c r="N59" s="142"/>
      <c r="O59" s="140">
        <f>SUM(O55:O58)</f>
        <v>2520</v>
      </c>
      <c r="P59" s="141">
        <f>SUM(P55:P58)</f>
        <v>3008</v>
      </c>
      <c r="Q59" s="141">
        <f>SUM(Q55:Q58)</f>
        <v>3062</v>
      </c>
      <c r="R59" s="141">
        <v>3927</v>
      </c>
      <c r="S59" s="16">
        <f>SUM(S55:S58)</f>
        <v>12517</v>
      </c>
      <c r="U59" s="140">
        <f>SUM(U55:U58)</f>
        <v>2831</v>
      </c>
      <c r="V59" s="141">
        <f>SUM(V55:V58)</f>
        <v>3135</v>
      </c>
      <c r="W59" s="141">
        <f>SUM(W55:W58)</f>
        <v>3020</v>
      </c>
      <c r="X59" s="141">
        <f>SUM(X55:X58)</f>
        <v>3913</v>
      </c>
      <c r="Y59" s="141">
        <f t="shared" si="6"/>
        <v>12899</v>
      </c>
      <c r="Z59" s="142"/>
      <c r="AA59" s="140">
        <f>SUM(AA55:AA58)</f>
        <v>2686</v>
      </c>
      <c r="AB59" s="141">
        <f>SUM(AB55:AB58)</f>
        <v>3337</v>
      </c>
      <c r="AC59" s="141">
        <f>SUM(AC55:AC58)</f>
        <v>3526</v>
      </c>
      <c r="AD59" s="141">
        <f>SUM(AD55:AD58)</f>
        <v>3911</v>
      </c>
      <c r="AE59" s="141">
        <f>SUM(AE55:AE58)</f>
        <v>13460</v>
      </c>
      <c r="AG59" s="140">
        <f>SUM(AG55:AG58)</f>
        <v>3591</v>
      </c>
      <c r="AH59" s="356">
        <f>AH55+AH56+AH57+AH58</f>
        <v>3907</v>
      </c>
      <c r="AI59" s="356">
        <f>+AI55+AI56+AI57+AI58</f>
        <v>3577</v>
      </c>
      <c r="AJ59" s="356">
        <f>+AJ55+AJ56+AJ57+AJ58</f>
        <v>4216</v>
      </c>
      <c r="AK59" s="356">
        <v>15291</v>
      </c>
      <c r="AL59" s="443"/>
      <c r="AM59" s="356">
        <v>3609</v>
      </c>
      <c r="AN59" s="356">
        <v>3952</v>
      </c>
      <c r="AO59" s="356">
        <f>+AO55+AO56+AO57+AO58</f>
        <v>3643</v>
      </c>
      <c r="AP59" s="337">
        <f>AP55+AP56+AP57+AP58</f>
        <v>4957</v>
      </c>
      <c r="AQ59" s="337">
        <f>AQ55+AQ56+AQ57+AQ58</f>
        <v>16161</v>
      </c>
      <c r="AR59" s="53"/>
      <c r="AS59" s="424">
        <f>AS55+AS56+AS57+AS58</f>
        <v>4210</v>
      </c>
      <c r="AT59" s="424">
        <f>AT55+AT56+AT57+AT58</f>
        <v>5440</v>
      </c>
      <c r="AU59" s="424">
        <f>AU55+AU56+AU57+AU58</f>
        <v>5070</v>
      </c>
      <c r="AV59" s="424">
        <v>5794</v>
      </c>
      <c r="AW59" s="424">
        <v>20514</v>
      </c>
      <c r="AX59" s="424">
        <f>AX55+AX56+AX57+AX58</f>
        <v>5953</v>
      </c>
      <c r="AY59" s="424">
        <f>AY55+AY56+AY57+AY58</f>
        <v>6514</v>
      </c>
      <c r="AZ59" s="424">
        <f>AZ55+AZ56+AZ57+AZ58</f>
        <v>5943</v>
      </c>
      <c r="BA59" s="424">
        <v>6053</v>
      </c>
      <c r="BB59" s="424">
        <f>BB55+BB56+BB57+BB58</f>
        <v>24463</v>
      </c>
      <c r="BC59" s="424">
        <v>7373</v>
      </c>
      <c r="BD59" s="424">
        <v>6696</v>
      </c>
      <c r="BE59" s="427">
        <v>6514</v>
      </c>
    </row>
    <row r="60" ht="11.25">
      <c r="A60" s="488"/>
    </row>
    <row r="61" spans="1:57" ht="22.5">
      <c r="A61" s="613" t="s">
        <v>374</v>
      </c>
      <c r="BE6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5" r:id="rId1"/>
  <ignoredErrors>
    <ignoredError sqref="BA14 BB26 BB32 F59"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BA35"/>
  <sheetViews>
    <sheetView showGridLines="0" zoomScale="112" zoomScaleNormal="112" zoomScalePageLayoutView="0" workbookViewId="0" topLeftCell="A1">
      <pane xSplit="2" ySplit="2" topLeftCell="AR3" activePane="bottomRight" state="frozen"/>
      <selection pane="topLeft" activeCell="A1" sqref="A1:AH16384"/>
      <selection pane="topRight" activeCell="A1" sqref="A1:AH16384"/>
      <selection pane="bottomLeft" activeCell="A1" sqref="A1:AH16384"/>
      <selection pane="bottomRight" activeCell="AM40" sqref="AM40"/>
    </sheetView>
  </sheetViews>
  <sheetFormatPr defaultColWidth="9.421875" defaultRowHeight="12" customHeight="1"/>
  <cols>
    <col min="1" max="1" width="55.421875" style="607" customWidth="1"/>
    <col min="2" max="2" width="0.9921875" style="60" customWidth="1"/>
    <col min="3" max="3" width="8.421875" style="71" customWidth="1"/>
    <col min="4" max="4" width="0.5625" style="60" customWidth="1"/>
    <col min="5" max="8" width="8.421875" style="60" customWidth="1"/>
    <col min="9" max="9" width="8.421875" style="71" customWidth="1"/>
    <col min="10" max="10" width="0.5625" style="60" customWidth="1"/>
    <col min="11" max="14" width="8.8515625" style="60" customWidth="1"/>
    <col min="15" max="15" width="8.8515625" style="71" customWidth="1"/>
    <col min="16" max="16" width="1.1484375" style="60" customWidth="1"/>
    <col min="17" max="20" width="6.421875" style="60" customWidth="1"/>
    <col min="21" max="21" width="6.8515625" style="60" customWidth="1"/>
    <col min="22" max="22" width="1.1484375" style="60" customWidth="1"/>
    <col min="23" max="27" width="7.8515625" style="60" customWidth="1"/>
    <col min="28" max="28" width="0.5625" style="60" customWidth="1"/>
    <col min="29" max="29" width="6.8515625" style="60" customWidth="1"/>
    <col min="30" max="33" width="7.00390625" style="144" customWidth="1"/>
    <col min="34" max="34" width="0.85546875" style="144" customWidth="1"/>
    <col min="35" max="35" width="6.140625" style="144" customWidth="1"/>
    <col min="36" max="36" width="7.421875" style="144" customWidth="1"/>
    <col min="37" max="37" width="7.421875" style="60" customWidth="1"/>
    <col min="38" max="38" width="6.140625" style="60" customWidth="1"/>
    <col min="39" max="39" width="7.7109375" style="60" customWidth="1"/>
    <col min="40" max="40" width="1.421875" style="60" customWidth="1"/>
    <col min="41" max="41" width="7.421875" style="60" customWidth="1"/>
    <col min="42" max="45" width="7.421875" style="295" customWidth="1"/>
    <col min="46" max="52" width="7.421875" style="394" customWidth="1"/>
    <col min="53" max="53" width="7.57421875" style="60" customWidth="1"/>
    <col min="54" max="16384" width="9.421875" style="60" customWidth="1"/>
  </cols>
  <sheetData>
    <row r="1" spans="1:53" ht="30">
      <c r="A1" s="610" t="s">
        <v>261</v>
      </c>
      <c r="B1" s="10"/>
      <c r="BA1"/>
    </row>
    <row r="2" spans="1:53" ht="12" customHeight="1">
      <c r="A2" s="595"/>
      <c r="B2" s="1"/>
      <c r="C2" s="8">
        <v>2014</v>
      </c>
      <c r="D2" s="8"/>
      <c r="E2" s="8" t="s">
        <v>4</v>
      </c>
      <c r="F2" s="8" t="s">
        <v>5</v>
      </c>
      <c r="G2" s="8" t="s">
        <v>6</v>
      </c>
      <c r="H2" s="8" t="s">
        <v>7</v>
      </c>
      <c r="I2" s="8" t="s">
        <v>18</v>
      </c>
      <c r="K2" s="8" t="s">
        <v>8</v>
      </c>
      <c r="L2" s="8" t="s">
        <v>9</v>
      </c>
      <c r="M2" s="8" t="s">
        <v>10</v>
      </c>
      <c r="N2" s="8" t="s">
        <v>11</v>
      </c>
      <c r="O2" s="8" t="s">
        <v>19</v>
      </c>
      <c r="Q2" s="8" t="s">
        <v>16</v>
      </c>
      <c r="R2" s="8" t="s">
        <v>17</v>
      </c>
      <c r="S2" s="8" t="s">
        <v>20</v>
      </c>
      <c r="T2" s="8" t="s">
        <v>21</v>
      </c>
      <c r="U2" s="8">
        <v>2017</v>
      </c>
      <c r="W2" s="8" t="s">
        <v>27</v>
      </c>
      <c r="X2" s="8" t="s">
        <v>29</v>
      </c>
      <c r="Y2" s="8" t="s">
        <v>32</v>
      </c>
      <c r="Z2" s="8" t="s">
        <v>35</v>
      </c>
      <c r="AA2" s="8">
        <v>2018</v>
      </c>
      <c r="AC2" s="8" t="s">
        <v>39</v>
      </c>
      <c r="AD2" s="8" t="s">
        <v>40</v>
      </c>
      <c r="AE2" s="8" t="s">
        <v>44</v>
      </c>
      <c r="AF2" s="8" t="s">
        <v>45</v>
      </c>
      <c r="AG2" s="8">
        <v>2019</v>
      </c>
      <c r="AH2" s="8"/>
      <c r="AI2" s="8" t="s">
        <v>46</v>
      </c>
      <c r="AJ2" s="8" t="s">
        <v>47</v>
      </c>
      <c r="AK2" s="8" t="s">
        <v>48</v>
      </c>
      <c r="AL2" s="8" t="s">
        <v>49</v>
      </c>
      <c r="AM2" s="8">
        <v>2020</v>
      </c>
      <c r="AN2" s="8"/>
      <c r="AO2" s="8" t="s">
        <v>51</v>
      </c>
      <c r="AP2" s="2" t="s">
        <v>54</v>
      </c>
      <c r="AQ2" s="2" t="s">
        <v>55</v>
      </c>
      <c r="AR2" s="332" t="s">
        <v>56</v>
      </c>
      <c r="AS2" s="332">
        <v>2021</v>
      </c>
      <c r="AT2" s="377" t="s">
        <v>57</v>
      </c>
      <c r="AU2" s="396" t="s">
        <v>58</v>
      </c>
      <c r="AV2" s="396" t="s">
        <v>59</v>
      </c>
      <c r="AW2" s="396" t="s">
        <v>60</v>
      </c>
      <c r="AX2" s="396">
        <v>2022</v>
      </c>
      <c r="AY2" s="396" t="s">
        <v>62</v>
      </c>
      <c r="AZ2" s="396" t="s">
        <v>63</v>
      </c>
      <c r="BA2" s="395" t="s">
        <v>64</v>
      </c>
    </row>
    <row r="3" spans="1:53" s="156" customFormat="1" ht="12" customHeight="1">
      <c r="A3" s="596" t="s">
        <v>94</v>
      </c>
      <c r="B3" s="6"/>
      <c r="C3" s="19">
        <v>3362</v>
      </c>
      <c r="D3" s="54"/>
      <c r="E3" s="41">
        <v>705</v>
      </c>
      <c r="F3" s="19">
        <v>1176</v>
      </c>
      <c r="G3" s="19">
        <v>521</v>
      </c>
      <c r="H3" s="19">
        <v>-4340</v>
      </c>
      <c r="I3" s="19">
        <v>-1938</v>
      </c>
      <c r="K3" s="41">
        <v>532</v>
      </c>
      <c r="L3" s="19">
        <v>500</v>
      </c>
      <c r="M3" s="19">
        <v>800</v>
      </c>
      <c r="N3" s="19">
        <v>-5207</v>
      </c>
      <c r="O3" s="19">
        <v>-3375</v>
      </c>
      <c r="Q3" s="41">
        <v>1104</v>
      </c>
      <c r="R3" s="19">
        <v>725</v>
      </c>
      <c r="S3" s="19">
        <v>673</v>
      </c>
      <c r="T3" s="19">
        <v>-348</v>
      </c>
      <c r="U3" s="19">
        <v>2154</v>
      </c>
      <c r="W3" s="41">
        <v>727</v>
      </c>
      <c r="X3" s="19">
        <v>551</v>
      </c>
      <c r="Y3" s="19">
        <v>650</v>
      </c>
      <c r="Z3" s="19">
        <v>744</v>
      </c>
      <c r="AA3" s="19">
        <v>2672</v>
      </c>
      <c r="AC3" s="41">
        <v>931</v>
      </c>
      <c r="AD3" s="120">
        <v>781</v>
      </c>
      <c r="AE3" s="120">
        <f>2370-AC3-AD3</f>
        <v>658</v>
      </c>
      <c r="AF3" s="120">
        <v>-443</v>
      </c>
      <c r="AG3" s="120">
        <v>1927</v>
      </c>
      <c r="AH3" s="174"/>
      <c r="AI3" s="120">
        <v>608</v>
      </c>
      <c r="AJ3" s="120">
        <v>533</v>
      </c>
      <c r="AK3" s="120">
        <v>686</v>
      </c>
      <c r="AL3" s="19">
        <v>940</v>
      </c>
      <c r="AM3" s="19">
        <v>2767</v>
      </c>
      <c r="AN3" s="54"/>
      <c r="AO3" s="281">
        <v>1425</v>
      </c>
      <c r="AP3" s="281">
        <v>3653</v>
      </c>
      <c r="AQ3" s="281">
        <v>992</v>
      </c>
      <c r="AR3" s="371">
        <v>646</v>
      </c>
      <c r="AS3" s="371">
        <v>6716</v>
      </c>
      <c r="AT3" s="381">
        <v>1838</v>
      </c>
      <c r="AU3" s="381">
        <v>1938</v>
      </c>
      <c r="AV3" s="423">
        <v>1081</v>
      </c>
      <c r="AW3" s="423">
        <v>139</v>
      </c>
      <c r="AX3" s="423">
        <v>4996</v>
      </c>
      <c r="AY3" s="423">
        <v>869</v>
      </c>
      <c r="AZ3" s="423">
        <v>934</v>
      </c>
      <c r="BA3" s="428">
        <v>837</v>
      </c>
    </row>
    <row r="4" spans="1:53" ht="12" customHeight="1">
      <c r="A4" s="547" t="s">
        <v>97</v>
      </c>
      <c r="B4" s="4"/>
      <c r="C4" s="19">
        <v>818</v>
      </c>
      <c r="D4" s="54"/>
      <c r="E4" s="41">
        <v>226</v>
      </c>
      <c r="F4" s="19">
        <v>203</v>
      </c>
      <c r="G4" s="19">
        <v>226</v>
      </c>
      <c r="H4" s="19">
        <v>220</v>
      </c>
      <c r="I4" s="19">
        <v>875</v>
      </c>
      <c r="K4" s="41">
        <v>214</v>
      </c>
      <c r="L4" s="19">
        <v>237</v>
      </c>
      <c r="M4" s="19">
        <v>249</v>
      </c>
      <c r="N4" s="19">
        <v>256</v>
      </c>
      <c r="O4" s="19">
        <v>956</v>
      </c>
      <c r="Q4" s="41">
        <v>239</v>
      </c>
      <c r="R4" s="19">
        <v>257</v>
      </c>
      <c r="S4" s="19">
        <v>256</v>
      </c>
      <c r="T4" s="19">
        <v>283</v>
      </c>
      <c r="U4" s="19">
        <v>1035</v>
      </c>
      <c r="W4" s="41">
        <v>251</v>
      </c>
      <c r="X4" s="19">
        <v>283</v>
      </c>
      <c r="Y4" s="19">
        <v>286</v>
      </c>
      <c r="Z4" s="19">
        <v>299</v>
      </c>
      <c r="AA4" s="19">
        <v>1119</v>
      </c>
      <c r="AC4" s="41">
        <v>274</v>
      </c>
      <c r="AD4" s="120">
        <v>312</v>
      </c>
      <c r="AE4" s="120">
        <f>893-AC4-AD4</f>
        <v>307</v>
      </c>
      <c r="AF4" s="120">
        <v>327</v>
      </c>
      <c r="AG4" s="120">
        <v>1220</v>
      </c>
      <c r="AH4" s="174"/>
      <c r="AI4" s="120">
        <v>284</v>
      </c>
      <c r="AJ4" s="120">
        <v>311</v>
      </c>
      <c r="AK4" s="120">
        <v>301</v>
      </c>
      <c r="AL4" s="19">
        <v>397</v>
      </c>
      <c r="AM4" s="19">
        <v>1293</v>
      </c>
      <c r="AN4" s="54"/>
      <c r="AO4" s="281">
        <v>309</v>
      </c>
      <c r="AP4" s="281">
        <v>347</v>
      </c>
      <c r="AQ4" s="281">
        <v>359</v>
      </c>
      <c r="AR4" s="371">
        <v>348</v>
      </c>
      <c r="AS4" s="371">
        <v>1363</v>
      </c>
      <c r="AT4" s="381">
        <v>322</v>
      </c>
      <c r="AU4" s="381">
        <v>373</v>
      </c>
      <c r="AV4" s="423">
        <v>369</v>
      </c>
      <c r="AW4" s="423">
        <v>370</v>
      </c>
      <c r="AX4" s="423">
        <v>1434</v>
      </c>
      <c r="AY4" s="423">
        <v>363</v>
      </c>
      <c r="AZ4" s="423">
        <v>421</v>
      </c>
      <c r="BA4" s="428">
        <v>426</v>
      </c>
    </row>
    <row r="5" spans="1:53" ht="12" customHeight="1">
      <c r="A5" s="547" t="s">
        <v>169</v>
      </c>
      <c r="B5" s="4"/>
      <c r="C5" s="19">
        <v>29</v>
      </c>
      <c r="D5" s="54"/>
      <c r="E5" s="41">
        <v>14</v>
      </c>
      <c r="F5" s="19">
        <v>20</v>
      </c>
      <c r="G5" s="19">
        <v>29</v>
      </c>
      <c r="H5" s="19">
        <v>22</v>
      </c>
      <c r="I5" s="19">
        <v>85</v>
      </c>
      <c r="K5" s="41">
        <v>23</v>
      </c>
      <c r="L5" s="19">
        <v>24</v>
      </c>
      <c r="M5" s="19">
        <v>38</v>
      </c>
      <c r="N5" s="19">
        <v>43</v>
      </c>
      <c r="O5" s="19">
        <v>128</v>
      </c>
      <c r="Q5" s="41">
        <v>38</v>
      </c>
      <c r="R5" s="19">
        <v>38</v>
      </c>
      <c r="S5" s="19">
        <v>36</v>
      </c>
      <c r="T5" s="19">
        <v>36</v>
      </c>
      <c r="U5" s="19">
        <v>148</v>
      </c>
      <c r="W5" s="41">
        <v>32</v>
      </c>
      <c r="X5" s="19">
        <v>41</v>
      </c>
      <c r="Y5" s="19">
        <v>40</v>
      </c>
      <c r="Z5" s="19">
        <v>37</v>
      </c>
      <c r="AA5" s="19">
        <v>150</v>
      </c>
      <c r="AC5" s="41">
        <v>43</v>
      </c>
      <c r="AD5" s="120">
        <v>50</v>
      </c>
      <c r="AE5" s="120">
        <f>97-AC5-AD5</f>
        <v>4</v>
      </c>
      <c r="AF5" s="120">
        <v>135</v>
      </c>
      <c r="AG5" s="120">
        <v>232</v>
      </c>
      <c r="AH5" s="174"/>
      <c r="AI5" s="120">
        <v>48</v>
      </c>
      <c r="AJ5" s="120">
        <v>57</v>
      </c>
      <c r="AK5" s="120">
        <v>28</v>
      </c>
      <c r="AL5" s="19">
        <v>42</v>
      </c>
      <c r="AM5" s="19">
        <v>175</v>
      </c>
      <c r="AN5" s="54"/>
      <c r="AO5" s="281">
        <v>27</v>
      </c>
      <c r="AP5" s="281">
        <v>36</v>
      </c>
      <c r="AQ5" s="281">
        <v>20</v>
      </c>
      <c r="AR5" s="371">
        <v>37</v>
      </c>
      <c r="AS5" s="371">
        <v>120</v>
      </c>
      <c r="AT5" s="381">
        <v>25</v>
      </c>
      <c r="AU5" s="381">
        <v>27</v>
      </c>
      <c r="AV5" s="423">
        <v>37</v>
      </c>
      <c r="AW5" s="423">
        <v>-28</v>
      </c>
      <c r="AX5" s="423">
        <v>61</v>
      </c>
      <c r="AY5" s="423">
        <v>35</v>
      </c>
      <c r="AZ5" s="423">
        <v>-20</v>
      </c>
      <c r="BA5" s="428">
        <v>97</v>
      </c>
    </row>
    <row r="6" spans="1:53" ht="12" customHeight="1">
      <c r="A6" s="509" t="s">
        <v>262</v>
      </c>
      <c r="B6" s="5"/>
      <c r="C6" s="19">
        <v>32</v>
      </c>
      <c r="D6" s="54"/>
      <c r="E6" s="41">
        <v>0</v>
      </c>
      <c r="F6" s="19">
        <v>0</v>
      </c>
      <c r="G6" s="19">
        <v>194</v>
      </c>
      <c r="H6" s="19">
        <v>5078</v>
      </c>
      <c r="I6" s="19">
        <v>5272</v>
      </c>
      <c r="K6" s="41">
        <v>57</v>
      </c>
      <c r="L6" s="19">
        <v>8</v>
      </c>
      <c r="M6" s="19">
        <v>5</v>
      </c>
      <c r="N6" s="19">
        <v>6127</v>
      </c>
      <c r="O6" s="19">
        <v>6197</v>
      </c>
      <c r="Q6" s="41">
        <v>0</v>
      </c>
      <c r="R6" s="19">
        <v>1</v>
      </c>
      <c r="S6" s="19">
        <v>0</v>
      </c>
      <c r="T6" s="19">
        <v>939</v>
      </c>
      <c r="U6" s="19">
        <v>940</v>
      </c>
      <c r="W6" s="41">
        <f>765-813</f>
        <v>-48</v>
      </c>
      <c r="X6" s="19">
        <v>-91</v>
      </c>
      <c r="Y6" s="19">
        <v>-19</v>
      </c>
      <c r="Z6" s="19">
        <v>-465</v>
      </c>
      <c r="AA6" s="19">
        <v>-623</v>
      </c>
      <c r="AC6" s="41">
        <v>-95</v>
      </c>
      <c r="AD6" s="120">
        <v>-7</v>
      </c>
      <c r="AE6" s="120">
        <f>29-128-AC6-AD6</f>
        <v>3</v>
      </c>
      <c r="AF6" s="120">
        <v>456</v>
      </c>
      <c r="AG6" s="120">
        <v>357</v>
      </c>
      <c r="AH6" s="174"/>
      <c r="AI6" s="120">
        <v>215</v>
      </c>
      <c r="AJ6" s="120">
        <v>0</v>
      </c>
      <c r="AK6" s="120">
        <v>-27</v>
      </c>
      <c r="AL6" s="19">
        <v>4</v>
      </c>
      <c r="AM6" s="19">
        <v>192</v>
      </c>
      <c r="AN6" s="54"/>
      <c r="AO6" s="281">
        <v>6</v>
      </c>
      <c r="AP6" s="281">
        <v>-1452</v>
      </c>
      <c r="AQ6" s="281">
        <v>-24</v>
      </c>
      <c r="AR6" s="371">
        <v>-90</v>
      </c>
      <c r="AS6" s="371">
        <v>-1560</v>
      </c>
      <c r="AT6" s="381">
        <v>-52</v>
      </c>
      <c r="AU6" s="381">
        <v>-137</v>
      </c>
      <c r="AV6" s="423">
        <v>10</v>
      </c>
      <c r="AW6" s="423">
        <v>-28</v>
      </c>
      <c r="AX6" s="423">
        <v>-207</v>
      </c>
      <c r="AY6" s="423">
        <v>0</v>
      </c>
      <c r="AZ6" s="423">
        <v>-80</v>
      </c>
      <c r="BA6" s="428">
        <v>-7</v>
      </c>
    </row>
    <row r="7" spans="1:53" ht="12.75">
      <c r="A7" s="509" t="s">
        <v>263</v>
      </c>
      <c r="B7" s="5"/>
      <c r="C7" s="19" t="s">
        <v>28</v>
      </c>
      <c r="D7" s="54"/>
      <c r="E7" s="41" t="s">
        <v>28</v>
      </c>
      <c r="F7" s="19" t="s">
        <v>28</v>
      </c>
      <c r="G7" s="19" t="s">
        <v>28</v>
      </c>
      <c r="H7" s="19" t="s">
        <v>28</v>
      </c>
      <c r="I7" s="19" t="s">
        <v>28</v>
      </c>
      <c r="K7" s="41" t="s">
        <v>28</v>
      </c>
      <c r="L7" s="19" t="s">
        <v>28</v>
      </c>
      <c r="M7" s="19" t="s">
        <v>28</v>
      </c>
      <c r="N7" s="19" t="s">
        <v>28</v>
      </c>
      <c r="O7" s="19" t="s">
        <v>28</v>
      </c>
      <c r="Q7" s="41" t="s">
        <v>28</v>
      </c>
      <c r="R7" s="19" t="s">
        <v>28</v>
      </c>
      <c r="S7" s="19" t="s">
        <v>28</v>
      </c>
      <c r="T7" s="19" t="s">
        <v>28</v>
      </c>
      <c r="U7" s="19" t="s">
        <v>28</v>
      </c>
      <c r="W7" s="41">
        <v>-113</v>
      </c>
      <c r="X7" s="19">
        <v>72</v>
      </c>
      <c r="Y7" s="19">
        <v>-11</v>
      </c>
      <c r="Z7" s="19">
        <v>115</v>
      </c>
      <c r="AA7" s="19">
        <v>63</v>
      </c>
      <c r="AC7" s="41">
        <v>-80</v>
      </c>
      <c r="AD7" s="120">
        <v>-61</v>
      </c>
      <c r="AE7" s="120">
        <f>-138-AC7-AD7</f>
        <v>3</v>
      </c>
      <c r="AF7" s="120">
        <v>41</v>
      </c>
      <c r="AG7" s="120">
        <v>-97</v>
      </c>
      <c r="AH7" s="174"/>
      <c r="AI7" s="120">
        <v>-329</v>
      </c>
      <c r="AJ7" s="120">
        <v>222</v>
      </c>
      <c r="AK7" s="120">
        <v>65</v>
      </c>
      <c r="AL7" s="19">
        <v>52</v>
      </c>
      <c r="AM7" s="19">
        <v>10</v>
      </c>
      <c r="AN7" s="54"/>
      <c r="AO7" s="281">
        <v>-91</v>
      </c>
      <c r="AP7" s="281">
        <v>-1032</v>
      </c>
      <c r="AQ7" s="281">
        <v>-177</v>
      </c>
      <c r="AR7" s="371">
        <v>271</v>
      </c>
      <c r="AS7" s="371">
        <v>-1029</v>
      </c>
      <c r="AT7" s="381">
        <v>-24</v>
      </c>
      <c r="AU7" s="381">
        <v>-430</v>
      </c>
      <c r="AV7" s="423">
        <v>-335</v>
      </c>
      <c r="AW7" s="423">
        <v>189</v>
      </c>
      <c r="AX7" s="423">
        <v>-600</v>
      </c>
      <c r="AY7" s="423">
        <v>12</v>
      </c>
      <c r="AZ7" s="423">
        <v>-584</v>
      </c>
      <c r="BA7" s="428">
        <v>-320</v>
      </c>
    </row>
    <row r="8" spans="1:53" ht="12" customHeight="1">
      <c r="A8" s="547" t="s">
        <v>171</v>
      </c>
      <c r="B8" s="4"/>
      <c r="C8" s="19">
        <v>390</v>
      </c>
      <c r="D8" s="54">
        <v>390</v>
      </c>
      <c r="E8" s="41">
        <v>219</v>
      </c>
      <c r="F8" s="19">
        <v>-449</v>
      </c>
      <c r="G8" s="19">
        <v>-43</v>
      </c>
      <c r="H8" s="19">
        <v>-157</v>
      </c>
      <c r="I8" s="19">
        <v>-430</v>
      </c>
      <c r="K8" s="41">
        <v>-440</v>
      </c>
      <c r="L8" s="19">
        <v>213</v>
      </c>
      <c r="M8" s="19">
        <v>-204</v>
      </c>
      <c r="N8" s="19">
        <v>238</v>
      </c>
      <c r="O8" s="19">
        <v>-193</v>
      </c>
      <c r="Q8" s="41">
        <v>178</v>
      </c>
      <c r="R8" s="19">
        <v>-451</v>
      </c>
      <c r="S8" s="19">
        <v>144</v>
      </c>
      <c r="T8" s="19">
        <v>-14</v>
      </c>
      <c r="U8" s="19">
        <f>30+152-67+43-2-299</f>
        <v>-143</v>
      </c>
      <c r="W8" s="41">
        <f>-315+113</f>
        <v>-202</v>
      </c>
      <c r="X8" s="19">
        <v>-90</v>
      </c>
      <c r="Y8" s="19">
        <v>-197</v>
      </c>
      <c r="Z8" s="19">
        <v>80</v>
      </c>
      <c r="AA8" s="19">
        <f>-190-219</f>
        <v>-409</v>
      </c>
      <c r="AC8" s="41">
        <v>-21</v>
      </c>
      <c r="AD8" s="120">
        <v>-445</v>
      </c>
      <c r="AE8" s="120">
        <f>-187-37+111-27-413+23-38-AC8-AD8</f>
        <v>-102</v>
      </c>
      <c r="AF8" s="120">
        <v>464</v>
      </c>
      <c r="AG8" s="120">
        <v>-104</v>
      </c>
      <c r="AH8" s="174"/>
      <c r="AI8" s="120">
        <v>30</v>
      </c>
      <c r="AJ8" s="120">
        <v>-215</v>
      </c>
      <c r="AK8" s="120">
        <v>115</v>
      </c>
      <c r="AL8" s="19">
        <v>109</v>
      </c>
      <c r="AM8" s="19">
        <v>39</v>
      </c>
      <c r="AN8" s="54"/>
      <c r="AO8" s="281">
        <v>420</v>
      </c>
      <c r="AP8" s="281">
        <v>113</v>
      </c>
      <c r="AQ8" s="281">
        <v>-98</v>
      </c>
      <c r="AR8" s="371">
        <v>-545</v>
      </c>
      <c r="AS8" s="371">
        <v>-110</v>
      </c>
      <c r="AT8" s="381">
        <v>494</v>
      </c>
      <c r="AU8" s="381">
        <v>-683</v>
      </c>
      <c r="AV8" s="423">
        <v>-597</v>
      </c>
      <c r="AW8" s="423">
        <v>900</v>
      </c>
      <c r="AX8" s="423">
        <v>114</v>
      </c>
      <c r="AY8" s="423">
        <v>612</v>
      </c>
      <c r="AZ8" s="423">
        <v>593</v>
      </c>
      <c r="BA8" s="428">
        <v>-740</v>
      </c>
    </row>
    <row r="9" spans="1:53" s="156" customFormat="1" ht="12" customHeight="1">
      <c r="A9" s="598" t="s">
        <v>172</v>
      </c>
      <c r="B9" s="6"/>
      <c r="C9" s="19">
        <v>1269</v>
      </c>
      <c r="D9" s="54"/>
      <c r="E9" s="41">
        <v>459</v>
      </c>
      <c r="F9" s="19">
        <v>-226</v>
      </c>
      <c r="G9" s="19">
        <v>406</v>
      </c>
      <c r="H9" s="19">
        <v>5163</v>
      </c>
      <c r="I9" s="19">
        <v>5802</v>
      </c>
      <c r="K9" s="41">
        <v>-146</v>
      </c>
      <c r="L9" s="19">
        <v>482</v>
      </c>
      <c r="M9" s="19">
        <v>88</v>
      </c>
      <c r="N9" s="19">
        <v>6664</v>
      </c>
      <c r="O9" s="19">
        <v>7088</v>
      </c>
      <c r="Q9" s="41">
        <f>+Q4+Q5+Q6+Q8</f>
        <v>455</v>
      </c>
      <c r="R9" s="19">
        <f>+R4+R5+R6+R8</f>
        <v>-155</v>
      </c>
      <c r="S9" s="19">
        <f>+S4+S5+S6+S8</f>
        <v>436</v>
      </c>
      <c r="T9" s="19">
        <f>+T4+T5+T6+T8</f>
        <v>1244</v>
      </c>
      <c r="U9" s="19">
        <f>U4+U5+U6+U8</f>
        <v>1980</v>
      </c>
      <c r="W9" s="41">
        <f>+W4+W5+W6+W7+W8</f>
        <v>-80</v>
      </c>
      <c r="X9" s="19">
        <f>+X4+X5+X6+X7+X8</f>
        <v>215</v>
      </c>
      <c r="Y9" s="19">
        <f>Y4+Y5+Y6+Y7+Y8</f>
        <v>99</v>
      </c>
      <c r="Z9" s="19">
        <v>66</v>
      </c>
      <c r="AA9" s="19">
        <f>AA4+AA5+AA6+AA7+AA8</f>
        <v>300</v>
      </c>
      <c r="AC9" s="41">
        <f>AC4+AC5+AC6+AC7+AC8</f>
        <v>121</v>
      </c>
      <c r="AD9" s="120">
        <v>-151</v>
      </c>
      <c r="AE9" s="120">
        <f>AE4+AE5+AE6+AE7+AE8</f>
        <v>215</v>
      </c>
      <c r="AF9" s="120">
        <v>1423</v>
      </c>
      <c r="AG9" s="120">
        <v>1608</v>
      </c>
      <c r="AH9" s="174"/>
      <c r="AI9" s="120">
        <v>248</v>
      </c>
      <c r="AJ9" s="120">
        <v>375</v>
      </c>
      <c r="AK9" s="120">
        <f>+AK4+AK5+AK6+AK7+AK8</f>
        <v>482</v>
      </c>
      <c r="AL9" s="19">
        <v>604</v>
      </c>
      <c r="AM9" s="19">
        <f>AM4+AM5+AM6+AM7+AM8</f>
        <v>1709</v>
      </c>
      <c r="AN9" s="54"/>
      <c r="AO9" s="281">
        <f aca="true" t="shared" si="0" ref="AO9:AT9">AO4+AO5+AO6+AO7+AO8</f>
        <v>671</v>
      </c>
      <c r="AP9" s="281">
        <f t="shared" si="0"/>
        <v>-1988</v>
      </c>
      <c r="AQ9" s="281">
        <f t="shared" si="0"/>
        <v>80</v>
      </c>
      <c r="AR9" s="371">
        <f t="shared" si="0"/>
        <v>21</v>
      </c>
      <c r="AS9" s="371">
        <f t="shared" si="0"/>
        <v>-1216</v>
      </c>
      <c r="AT9" s="381">
        <f t="shared" si="0"/>
        <v>765</v>
      </c>
      <c r="AU9" s="381">
        <v>-850</v>
      </c>
      <c r="AV9" s="423">
        <v>-516</v>
      </c>
      <c r="AW9" s="423">
        <v>848</v>
      </c>
      <c r="AX9" s="423">
        <v>247</v>
      </c>
      <c r="AY9" s="423">
        <f>AY4+AY5+AY6+AY7+AY8</f>
        <v>1022</v>
      </c>
      <c r="AZ9" s="423">
        <f>+AZ4+AZ5+AZ6+AZ7+AZ8</f>
        <v>330</v>
      </c>
      <c r="BA9" s="428">
        <f>+BA4+BA5+BA6+BA7+BA8</f>
        <v>-544</v>
      </c>
    </row>
    <row r="10" spans="1:53" ht="12" customHeight="1">
      <c r="A10" s="598" t="s">
        <v>173</v>
      </c>
      <c r="B10" s="6"/>
      <c r="C10" s="19">
        <v>-853</v>
      </c>
      <c r="D10" s="54"/>
      <c r="E10" s="41">
        <v>-225</v>
      </c>
      <c r="F10" s="19">
        <v>-206</v>
      </c>
      <c r="G10" s="19">
        <v>-225</v>
      </c>
      <c r="H10" s="19">
        <v>-224</v>
      </c>
      <c r="I10" s="19">
        <v>-880</v>
      </c>
      <c r="K10" s="41">
        <v>-75</v>
      </c>
      <c r="L10" s="19">
        <v>-72</v>
      </c>
      <c r="M10" s="19">
        <v>-204</v>
      </c>
      <c r="N10" s="19">
        <v>-117</v>
      </c>
      <c r="O10" s="19">
        <v>-468</v>
      </c>
      <c r="Q10" s="41">
        <v>-414</v>
      </c>
      <c r="R10" s="19">
        <v>-270</v>
      </c>
      <c r="S10" s="19">
        <v>-111</v>
      </c>
      <c r="T10" s="19">
        <v>-139</v>
      </c>
      <c r="U10" s="19">
        <v>-934</v>
      </c>
      <c r="W10" s="41">
        <v>-144</v>
      </c>
      <c r="X10" s="19">
        <v>-188</v>
      </c>
      <c r="Y10" s="19">
        <v>-189</v>
      </c>
      <c r="Z10" s="19">
        <v>-189</v>
      </c>
      <c r="AA10" s="19">
        <v>-710</v>
      </c>
      <c r="AC10" s="41">
        <v>-63</v>
      </c>
      <c r="AD10" s="120">
        <v>-258</v>
      </c>
      <c r="AE10" s="120">
        <f>-395-AC10-AD10</f>
        <v>-74</v>
      </c>
      <c r="AF10" s="120">
        <v>-70</v>
      </c>
      <c r="AG10" s="120">
        <v>-465</v>
      </c>
      <c r="AH10" s="174"/>
      <c r="AI10" s="120">
        <v>-186</v>
      </c>
      <c r="AJ10" s="120">
        <v>-186</v>
      </c>
      <c r="AK10" s="120">
        <v>-63</v>
      </c>
      <c r="AL10" s="19">
        <v>-295</v>
      </c>
      <c r="AM10" s="19">
        <v>-730</v>
      </c>
      <c r="AN10" s="54"/>
      <c r="AO10" s="281">
        <v>-188</v>
      </c>
      <c r="AP10" s="281">
        <v>-180</v>
      </c>
      <c r="AQ10" s="281">
        <v>-172</v>
      </c>
      <c r="AR10" s="371">
        <v>-167</v>
      </c>
      <c r="AS10" s="371">
        <v>-707</v>
      </c>
      <c r="AT10" s="381">
        <v>-169</v>
      </c>
      <c r="AU10" s="381">
        <v>-1020</v>
      </c>
      <c r="AV10" s="423">
        <v>-194</v>
      </c>
      <c r="AW10" s="423">
        <v>-192</v>
      </c>
      <c r="AX10" s="423">
        <v>-1575</v>
      </c>
      <c r="AY10" s="423">
        <v>-244</v>
      </c>
      <c r="AZ10" s="423">
        <v>-815</v>
      </c>
      <c r="BA10" s="428">
        <v>-270</v>
      </c>
    </row>
    <row r="11" spans="1:53" ht="12" customHeight="1">
      <c r="A11" s="598" t="s">
        <v>174</v>
      </c>
      <c r="B11" s="6"/>
      <c r="C11" s="19">
        <v>222</v>
      </c>
      <c r="D11" s="54"/>
      <c r="E11" s="41">
        <v>218</v>
      </c>
      <c r="F11" s="19">
        <v>221</v>
      </c>
      <c r="G11" s="19">
        <v>-13</v>
      </c>
      <c r="H11" s="19">
        <v>-131</v>
      </c>
      <c r="I11" s="19">
        <v>295</v>
      </c>
      <c r="K11" s="41">
        <v>127</v>
      </c>
      <c r="L11" s="19">
        <v>-306</v>
      </c>
      <c r="M11" s="19">
        <v>137</v>
      </c>
      <c r="N11" s="19">
        <v>394</v>
      </c>
      <c r="O11" s="19">
        <v>352</v>
      </c>
      <c r="Q11" s="41">
        <v>-598</v>
      </c>
      <c r="R11" s="19">
        <v>-47</v>
      </c>
      <c r="S11" s="19">
        <v>-591</v>
      </c>
      <c r="T11" s="19">
        <v>116</v>
      </c>
      <c r="U11" s="19">
        <v>-1120</v>
      </c>
      <c r="W11" s="41">
        <v>-585</v>
      </c>
      <c r="X11" s="19">
        <v>-128</v>
      </c>
      <c r="Y11" s="19">
        <v>207</v>
      </c>
      <c r="Z11" s="19">
        <v>1059</v>
      </c>
      <c r="AA11" s="19">
        <v>553</v>
      </c>
      <c r="AC11" s="41">
        <v>-473</v>
      </c>
      <c r="AD11" s="120">
        <v>381</v>
      </c>
      <c r="AE11" s="120">
        <f>-320-AC11-AD11</f>
        <v>-228</v>
      </c>
      <c r="AF11" s="120">
        <v>1293</v>
      </c>
      <c r="AG11" s="120">
        <v>973</v>
      </c>
      <c r="AH11" s="174"/>
      <c r="AI11" s="120">
        <v>384</v>
      </c>
      <c r="AJ11" s="120">
        <v>149</v>
      </c>
      <c r="AK11" s="120">
        <v>-170</v>
      </c>
      <c r="AL11" s="19">
        <v>707</v>
      </c>
      <c r="AM11" s="19">
        <v>1070</v>
      </c>
      <c r="AN11" s="54"/>
      <c r="AO11" s="281">
        <v>-1021</v>
      </c>
      <c r="AP11" s="281">
        <v>-692</v>
      </c>
      <c r="AQ11" s="281">
        <v>-1179</v>
      </c>
      <c r="AR11" s="371">
        <v>62</v>
      </c>
      <c r="AS11" s="371">
        <v>-2830</v>
      </c>
      <c r="AT11" s="381">
        <v>-595</v>
      </c>
      <c r="AU11" s="381">
        <v>-492</v>
      </c>
      <c r="AV11" s="423">
        <v>-65</v>
      </c>
      <c r="AW11" s="423">
        <v>-725</v>
      </c>
      <c r="AX11" s="423">
        <v>-1877</v>
      </c>
      <c r="AY11" s="423">
        <v>115</v>
      </c>
      <c r="AZ11" s="423">
        <v>887</v>
      </c>
      <c r="BA11" s="428">
        <v>404</v>
      </c>
    </row>
    <row r="12" spans="1:53" ht="12" customHeight="1">
      <c r="A12" s="599" t="s">
        <v>175</v>
      </c>
      <c r="B12" s="7"/>
      <c r="C12" s="16">
        <v>4000</v>
      </c>
      <c r="D12" s="53"/>
      <c r="E12" s="38">
        <v>1157</v>
      </c>
      <c r="F12" s="16">
        <v>965</v>
      </c>
      <c r="G12" s="16">
        <v>689</v>
      </c>
      <c r="H12" s="16">
        <v>468</v>
      </c>
      <c r="I12" s="16">
        <v>3279</v>
      </c>
      <c r="K12" s="38">
        <v>438</v>
      </c>
      <c r="L12" s="16">
        <v>604</v>
      </c>
      <c r="M12" s="16">
        <v>821</v>
      </c>
      <c r="N12" s="16">
        <v>1734</v>
      </c>
      <c r="O12" s="16">
        <v>3597</v>
      </c>
      <c r="Q12" s="38">
        <f>+Q3+Q9+Q10+Q11</f>
        <v>547</v>
      </c>
      <c r="R12" s="16">
        <f>+R3+R9+R10+R11</f>
        <v>253</v>
      </c>
      <c r="S12" s="16">
        <f>+S3+S9+S10+S11</f>
        <v>407</v>
      </c>
      <c r="T12" s="16">
        <f>+T3+T9+T10+T11</f>
        <v>873</v>
      </c>
      <c r="U12" s="16">
        <f>U3+U9+U10+U11</f>
        <v>2080</v>
      </c>
      <c r="W12" s="38">
        <f>+W3+W9+W10+W11</f>
        <v>-82</v>
      </c>
      <c r="X12" s="16">
        <f>+X3+X9+X10+X11</f>
        <v>450</v>
      </c>
      <c r="Y12" s="16">
        <f>+Y3+Y9+Y10+Y11</f>
        <v>767</v>
      </c>
      <c r="Z12" s="16">
        <f>+Z3+Z9+Z10+Z11</f>
        <v>1680</v>
      </c>
      <c r="AA12" s="16">
        <f>+AA3+AA9+AA10+AA11</f>
        <v>2815</v>
      </c>
      <c r="AC12" s="38">
        <f>+AC3+AC9+AC10+AC11</f>
        <v>516</v>
      </c>
      <c r="AD12" s="148">
        <f>+AD3+AD9+AD10+AD11</f>
        <v>753</v>
      </c>
      <c r="AE12" s="148">
        <f>AE3+AE9+AE10+AE11</f>
        <v>571</v>
      </c>
      <c r="AF12" s="148">
        <v>2203</v>
      </c>
      <c r="AG12" s="148">
        <v>4043</v>
      </c>
      <c r="AH12" s="175"/>
      <c r="AI12" s="148">
        <v>1054</v>
      </c>
      <c r="AJ12" s="148">
        <v>871</v>
      </c>
      <c r="AK12" s="148">
        <f>+AK3+AK9+AK10+AK11</f>
        <v>935</v>
      </c>
      <c r="AL12" s="16">
        <f>AL3+AL9+AL10+AL11</f>
        <v>1956</v>
      </c>
      <c r="AM12" s="16">
        <f>AM3+AM9+AM10+AM11</f>
        <v>4816</v>
      </c>
      <c r="AN12" s="53"/>
      <c r="AO12" s="282">
        <f aca="true" t="shared" si="1" ref="AO12:AU12">AO3+AO9+AO10+AO11</f>
        <v>887</v>
      </c>
      <c r="AP12" s="282">
        <f t="shared" si="1"/>
        <v>793</v>
      </c>
      <c r="AQ12" s="282">
        <f t="shared" si="1"/>
        <v>-279</v>
      </c>
      <c r="AR12" s="372">
        <f t="shared" si="1"/>
        <v>562</v>
      </c>
      <c r="AS12" s="372">
        <f>AS3+AS9+AS10+AS11</f>
        <v>1963</v>
      </c>
      <c r="AT12" s="382">
        <f t="shared" si="1"/>
        <v>1839</v>
      </c>
      <c r="AU12" s="424">
        <f t="shared" si="1"/>
        <v>-424</v>
      </c>
      <c r="AV12" s="424">
        <f>AV3+AV9+AV10+AV11</f>
        <v>306</v>
      </c>
      <c r="AW12" s="424">
        <v>70</v>
      </c>
      <c r="AX12" s="424">
        <f>AX3+AX9+AX10+AX11</f>
        <v>1791</v>
      </c>
      <c r="AY12" s="424">
        <v>1762</v>
      </c>
      <c r="AZ12" s="424">
        <f>+AZ3+AZ9+AZ10+AZ11</f>
        <v>1336</v>
      </c>
      <c r="BA12" s="418">
        <f>+BA3+BA9+BA10+BA11</f>
        <v>427</v>
      </c>
    </row>
    <row r="13" spans="1:53" ht="12" customHeight="1">
      <c r="A13" s="614"/>
      <c r="B13" s="3"/>
      <c r="C13" s="55"/>
      <c r="D13" s="53"/>
      <c r="E13" s="56"/>
      <c r="F13" s="55"/>
      <c r="G13" s="55"/>
      <c r="H13" s="55"/>
      <c r="I13" s="55"/>
      <c r="K13" s="56"/>
      <c r="L13" s="55"/>
      <c r="M13" s="55"/>
      <c r="N13" s="55"/>
      <c r="O13" s="55"/>
      <c r="Q13" s="56"/>
      <c r="R13" s="55"/>
      <c r="S13" s="55"/>
      <c r="T13" s="55"/>
      <c r="U13" s="25"/>
      <c r="W13" s="56"/>
      <c r="X13" s="25"/>
      <c r="Y13" s="25"/>
      <c r="Z13" s="25"/>
      <c r="AA13" s="25"/>
      <c r="AC13" s="56"/>
      <c r="AD13" s="69"/>
      <c r="AE13" s="161"/>
      <c r="AF13" s="161"/>
      <c r="AG13" s="161"/>
      <c r="AH13" s="174"/>
      <c r="AI13" s="69"/>
      <c r="AJ13" s="161"/>
      <c r="AK13" s="161"/>
      <c r="AL13" s="25"/>
      <c r="AM13" s="25"/>
      <c r="AN13" s="54"/>
      <c r="AO13" s="290"/>
      <c r="AP13" s="290"/>
      <c r="AQ13" s="290"/>
      <c r="AR13" s="290"/>
      <c r="AS13" s="290"/>
      <c r="AT13" s="390"/>
      <c r="AU13" s="390"/>
      <c r="AV13" s="390"/>
      <c r="AW13" s="390"/>
      <c r="AX13" s="390"/>
      <c r="AY13" s="390"/>
      <c r="AZ13" s="390"/>
      <c r="BA13" s="419"/>
    </row>
    <row r="14" spans="1:53" ht="10.5" customHeight="1">
      <c r="A14" s="601" t="s">
        <v>264</v>
      </c>
      <c r="B14" s="4"/>
      <c r="C14" s="40">
        <v>-2179</v>
      </c>
      <c r="D14" s="54"/>
      <c r="E14" s="57">
        <v>-648</v>
      </c>
      <c r="F14" s="40">
        <v>-479</v>
      </c>
      <c r="G14" s="40">
        <v>-588</v>
      </c>
      <c r="H14" s="40">
        <v>-727</v>
      </c>
      <c r="I14" s="40">
        <v>-2442</v>
      </c>
      <c r="K14" s="57">
        <v>-812</v>
      </c>
      <c r="L14" s="40">
        <v>-610</v>
      </c>
      <c r="M14" s="40">
        <v>-573</v>
      </c>
      <c r="N14" s="40">
        <v>-590</v>
      </c>
      <c r="O14" s="40">
        <v>-2585</v>
      </c>
      <c r="Q14" s="57">
        <v>-603</v>
      </c>
      <c r="R14" s="40">
        <v>-371</v>
      </c>
      <c r="S14" s="40">
        <v>-373</v>
      </c>
      <c r="T14" s="40">
        <v>-623</v>
      </c>
      <c r="U14" s="40">
        <v>-1970</v>
      </c>
      <c r="W14" s="57">
        <v>-556</v>
      </c>
      <c r="X14" s="40">
        <v>-386</v>
      </c>
      <c r="Y14" s="40">
        <v>-419</v>
      </c>
      <c r="Z14" s="40">
        <v>-523</v>
      </c>
      <c r="AA14" s="40">
        <v>-1884</v>
      </c>
      <c r="AC14" s="57">
        <v>-789</v>
      </c>
      <c r="AD14" s="155">
        <v>-465</v>
      </c>
      <c r="AE14" s="155">
        <v>-456</v>
      </c>
      <c r="AF14" s="155">
        <v>-584</v>
      </c>
      <c r="AG14" s="155">
        <v>-2294</v>
      </c>
      <c r="AH14" s="174"/>
      <c r="AI14" s="155">
        <v>-709</v>
      </c>
      <c r="AJ14" s="155">
        <v>-461</v>
      </c>
      <c r="AK14" s="155">
        <v>-627</v>
      </c>
      <c r="AL14" s="40">
        <v>-576</v>
      </c>
      <c r="AM14" s="40">
        <v>-2373</v>
      </c>
      <c r="AN14" s="54"/>
      <c r="AO14" s="291">
        <v>-647</v>
      </c>
      <c r="AP14" s="291">
        <v>-557</v>
      </c>
      <c r="AQ14" s="291">
        <v>-517</v>
      </c>
      <c r="AR14" s="291">
        <v>-660</v>
      </c>
      <c r="AS14" s="291">
        <v>-2381</v>
      </c>
      <c r="AT14" s="391">
        <v>-766</v>
      </c>
      <c r="AU14" s="391">
        <v>-562</v>
      </c>
      <c r="AV14" s="391">
        <v>-633</v>
      </c>
      <c r="AW14" s="391">
        <v>-728</v>
      </c>
      <c r="AX14" s="391">
        <v>-2689</v>
      </c>
      <c r="AY14" s="391">
        <v>-869</v>
      </c>
      <c r="AZ14" s="391">
        <v>-681</v>
      </c>
      <c r="BA14" s="420">
        <v>-607</v>
      </c>
    </row>
    <row r="15" spans="1:53" ht="12" customHeight="1">
      <c r="A15" s="547" t="s">
        <v>265</v>
      </c>
      <c r="B15" s="4"/>
      <c r="C15" s="19">
        <v>-24</v>
      </c>
      <c r="D15" s="54"/>
      <c r="E15" s="41">
        <v>-11</v>
      </c>
      <c r="F15" s="19">
        <v>-8</v>
      </c>
      <c r="G15" s="19">
        <v>-9</v>
      </c>
      <c r="H15" s="19">
        <v>-11</v>
      </c>
      <c r="I15" s="19">
        <v>-39</v>
      </c>
      <c r="K15" s="41">
        <v>-8</v>
      </c>
      <c r="L15" s="19">
        <v>-1</v>
      </c>
      <c r="M15" s="19">
        <v>-3</v>
      </c>
      <c r="N15" s="19">
        <v>-7</v>
      </c>
      <c r="O15" s="19">
        <v>-19</v>
      </c>
      <c r="Q15" s="41">
        <v>-8</v>
      </c>
      <c r="R15" s="19">
        <v>-1</v>
      </c>
      <c r="S15" s="19">
        <v>-4</v>
      </c>
      <c r="T15" s="19">
        <v>-8</v>
      </c>
      <c r="U15" s="19">
        <v>-21</v>
      </c>
      <c r="W15" s="41">
        <v>-15</v>
      </c>
      <c r="X15" s="19">
        <v>-4</v>
      </c>
      <c r="Y15" s="19">
        <v>-7</v>
      </c>
      <c r="Z15" s="19">
        <v>3</v>
      </c>
      <c r="AA15" s="19">
        <v>-23</v>
      </c>
      <c r="AC15" s="41">
        <v>-56</v>
      </c>
      <c r="AD15" s="120">
        <v>-2</v>
      </c>
      <c r="AE15" s="120">
        <v>-6</v>
      </c>
      <c r="AF15" s="120">
        <v>-8</v>
      </c>
      <c r="AG15" s="120">
        <v>-72</v>
      </c>
      <c r="AH15" s="174"/>
      <c r="AI15" s="120">
        <v>-35</v>
      </c>
      <c r="AJ15" s="120">
        <v>-3</v>
      </c>
      <c r="AK15" s="120">
        <v>-6</v>
      </c>
      <c r="AL15" s="40">
        <v>-5</v>
      </c>
      <c r="AM15" s="19">
        <v>-49</v>
      </c>
      <c r="AN15" s="54"/>
      <c r="AO15" s="291">
        <v>-16</v>
      </c>
      <c r="AP15" s="291">
        <v>13</v>
      </c>
      <c r="AQ15" s="291">
        <v>-21</v>
      </c>
      <c r="AR15" s="291">
        <v>-2</v>
      </c>
      <c r="AS15" s="291">
        <v>-26</v>
      </c>
      <c r="AT15" s="391">
        <v>-15</v>
      </c>
      <c r="AU15" s="391">
        <v>-6</v>
      </c>
      <c r="AV15" s="391">
        <v>-14</v>
      </c>
      <c r="AW15" s="391">
        <v>-7</v>
      </c>
      <c r="AX15" s="391">
        <v>-42</v>
      </c>
      <c r="AY15" s="391">
        <v>-14</v>
      </c>
      <c r="AZ15" s="391">
        <v>-3</v>
      </c>
      <c r="BA15" s="420">
        <v>-3</v>
      </c>
    </row>
    <row r="16" spans="1:53" ht="12" customHeight="1">
      <c r="A16" s="547" t="s">
        <v>266</v>
      </c>
      <c r="B16" s="4"/>
      <c r="C16" s="19">
        <v>-1597</v>
      </c>
      <c r="D16" s="54"/>
      <c r="E16" s="41">
        <v>-1155</v>
      </c>
      <c r="F16" s="19">
        <v>-2298</v>
      </c>
      <c r="G16" s="19">
        <v>-332</v>
      </c>
      <c r="H16" s="19">
        <v>-460</v>
      </c>
      <c r="I16" s="19">
        <v>-4245</v>
      </c>
      <c r="K16" s="41">
        <v>-198</v>
      </c>
      <c r="L16" s="19">
        <v>-127</v>
      </c>
      <c r="M16" s="19">
        <v>-132</v>
      </c>
      <c r="N16" s="19">
        <v>-377</v>
      </c>
      <c r="O16" s="19">
        <v>-834</v>
      </c>
      <c r="Q16" s="41">
        <v>0</v>
      </c>
      <c r="R16" s="19">
        <v>-219</v>
      </c>
      <c r="S16" s="19">
        <v>0</v>
      </c>
      <c r="T16" s="19">
        <v>-271</v>
      </c>
      <c r="U16" s="19">
        <v>-490</v>
      </c>
      <c r="W16" s="41">
        <v>-5</v>
      </c>
      <c r="X16" s="19">
        <v>-264</v>
      </c>
      <c r="Y16" s="19">
        <v>0</v>
      </c>
      <c r="Z16" s="19">
        <v>-413</v>
      </c>
      <c r="AA16" s="19">
        <v>-682</v>
      </c>
      <c r="AC16" s="41">
        <v>0</v>
      </c>
      <c r="AD16" s="120">
        <v>-63</v>
      </c>
      <c r="AE16" s="120">
        <v>-109</v>
      </c>
      <c r="AF16" s="120">
        <v>-273</v>
      </c>
      <c r="AG16" s="120">
        <v>-445</v>
      </c>
      <c r="AH16" s="174"/>
      <c r="AI16" s="120">
        <v>0</v>
      </c>
      <c r="AJ16" s="120">
        <v>-270</v>
      </c>
      <c r="AK16" s="120">
        <v>-15</v>
      </c>
      <c r="AL16" s="40">
        <v>-3</v>
      </c>
      <c r="AM16" s="19">
        <v>-288</v>
      </c>
      <c r="AN16" s="54"/>
      <c r="AO16" s="291">
        <v>0</v>
      </c>
      <c r="AP16" s="291">
        <v>0</v>
      </c>
      <c r="AQ16" s="291">
        <v>-20</v>
      </c>
      <c r="AR16" s="291">
        <v>0</v>
      </c>
      <c r="AS16" s="291">
        <v>-20</v>
      </c>
      <c r="AT16" s="391">
        <v>0</v>
      </c>
      <c r="AU16" s="391">
        <v>0</v>
      </c>
      <c r="AV16" s="391">
        <v>-21</v>
      </c>
      <c r="AW16" s="391">
        <v>-2</v>
      </c>
      <c r="AX16" s="391">
        <v>-23</v>
      </c>
      <c r="AY16" s="391">
        <v>-472</v>
      </c>
      <c r="AZ16" s="391">
        <v>0</v>
      </c>
      <c r="BA16" s="420">
        <v>0</v>
      </c>
    </row>
    <row r="17" spans="1:53" ht="12" customHeight="1">
      <c r="A17" s="547" t="s">
        <v>181</v>
      </c>
      <c r="B17" s="4"/>
      <c r="C17" s="19">
        <v>-28</v>
      </c>
      <c r="D17" s="53">
        <v>0</v>
      </c>
      <c r="E17" s="41">
        <v>-70</v>
      </c>
      <c r="F17" s="19">
        <v>-70</v>
      </c>
      <c r="G17" s="19">
        <v>-8</v>
      </c>
      <c r="H17" s="19">
        <v>2</v>
      </c>
      <c r="I17" s="19">
        <v>-146</v>
      </c>
      <c r="J17" s="60">
        <v>0</v>
      </c>
      <c r="K17" s="41">
        <v>-35</v>
      </c>
      <c r="L17" s="19">
        <v>-6</v>
      </c>
      <c r="M17" s="19">
        <v>-39</v>
      </c>
      <c r="N17" s="19">
        <v>28</v>
      </c>
      <c r="O17" s="19">
        <v>-52</v>
      </c>
      <c r="Q17" s="41">
        <v>-40</v>
      </c>
      <c r="R17" s="19">
        <v>16</v>
      </c>
      <c r="S17" s="19">
        <v>-21</v>
      </c>
      <c r="T17" s="19">
        <v>14</v>
      </c>
      <c r="U17" s="19">
        <f>-83+52</f>
        <v>-31</v>
      </c>
      <c r="W17" s="41">
        <v>-32</v>
      </c>
      <c r="X17" s="19">
        <v>105</v>
      </c>
      <c r="Y17" s="19">
        <v>127</v>
      </c>
      <c r="Z17" s="19">
        <v>-10</v>
      </c>
      <c r="AA17" s="19">
        <v>190</v>
      </c>
      <c r="AC17" s="41">
        <v>-24</v>
      </c>
      <c r="AD17" s="120">
        <v>-1</v>
      </c>
      <c r="AE17" s="120">
        <v>-8</v>
      </c>
      <c r="AF17" s="120">
        <v>-10</v>
      </c>
      <c r="AG17" s="120">
        <v>-43</v>
      </c>
      <c r="AH17" s="174"/>
      <c r="AI17" s="120">
        <f>-42-4</f>
        <v>-46</v>
      </c>
      <c r="AJ17" s="120">
        <v>-21</v>
      </c>
      <c r="AK17" s="120">
        <v>33</v>
      </c>
      <c r="AL17" s="40">
        <v>-20</v>
      </c>
      <c r="AM17" s="19">
        <v>-54</v>
      </c>
      <c r="AN17" s="54"/>
      <c r="AO17" s="291">
        <v>31</v>
      </c>
      <c r="AP17" s="291">
        <v>-2</v>
      </c>
      <c r="AQ17" s="291">
        <v>577</v>
      </c>
      <c r="AR17" s="291">
        <v>1214</v>
      </c>
      <c r="AS17" s="291">
        <v>1820</v>
      </c>
      <c r="AT17" s="391">
        <v>400</v>
      </c>
      <c r="AU17" s="391">
        <v>570</v>
      </c>
      <c r="AV17" s="391">
        <v>94</v>
      </c>
      <c r="AW17" s="391">
        <v>61</v>
      </c>
      <c r="AX17" s="391">
        <v>1125</v>
      </c>
      <c r="AY17" s="391">
        <v>-204</v>
      </c>
      <c r="AZ17" s="391">
        <v>33</v>
      </c>
      <c r="BA17" s="420">
        <v>-223</v>
      </c>
    </row>
    <row r="18" spans="1:53" ht="12" customHeight="1">
      <c r="A18" s="599" t="s">
        <v>182</v>
      </c>
      <c r="B18" s="7"/>
      <c r="C18" s="16">
        <f>SUM(C14:C17)</f>
        <v>-3828</v>
      </c>
      <c r="D18" s="53"/>
      <c r="E18" s="38">
        <f>SUM(E14:E17)</f>
        <v>-1884</v>
      </c>
      <c r="F18" s="16">
        <f>SUM(F14:F17)</f>
        <v>-2855</v>
      </c>
      <c r="G18" s="16">
        <f>SUM(G14:G17)</f>
        <v>-937</v>
      </c>
      <c r="H18" s="16">
        <f>SUM(H14:H17)</f>
        <v>-1196</v>
      </c>
      <c r="I18" s="16">
        <f>SUM(I14:I17)</f>
        <v>-6872</v>
      </c>
      <c r="K18" s="38">
        <f>SUM(K14:K17)</f>
        <v>-1053</v>
      </c>
      <c r="L18" s="16">
        <f>SUM(L14:L17)</f>
        <v>-744</v>
      </c>
      <c r="M18" s="16">
        <f>SUM(M14:M17)</f>
        <v>-747</v>
      </c>
      <c r="N18" s="16">
        <f>SUM(N14:N17)</f>
        <v>-946</v>
      </c>
      <c r="O18" s="16">
        <f>SUM(O14:O17)</f>
        <v>-3490</v>
      </c>
      <c r="Q18" s="38">
        <f>SUM(Q14:Q17)</f>
        <v>-651</v>
      </c>
      <c r="R18" s="16">
        <f>SUM(R14:R17)</f>
        <v>-575</v>
      </c>
      <c r="S18" s="16">
        <f>SUM(S14:S17)</f>
        <v>-398</v>
      </c>
      <c r="T18" s="16">
        <f>SUM(T14:T17)</f>
        <v>-888</v>
      </c>
      <c r="U18" s="16">
        <f>U14+U15+U16+U17</f>
        <v>-2512</v>
      </c>
      <c r="W18" s="38">
        <f>SUM(W14:W17)</f>
        <v>-608</v>
      </c>
      <c r="X18" s="16">
        <f>SUM(X14:X17)</f>
        <v>-549</v>
      </c>
      <c r="Y18" s="16">
        <f>SUM(Y14:Y17)</f>
        <v>-299</v>
      </c>
      <c r="Z18" s="16">
        <v>-943</v>
      </c>
      <c r="AA18" s="16">
        <f>SUM(AA14:AA17)</f>
        <v>-2399</v>
      </c>
      <c r="AC18" s="38">
        <f>SUM(AC14:AC17)</f>
        <v>-869</v>
      </c>
      <c r="AD18" s="148">
        <f>SUM(AD14:AD17)</f>
        <v>-531</v>
      </c>
      <c r="AE18" s="148">
        <v>-579</v>
      </c>
      <c r="AF18" s="148">
        <v>-875</v>
      </c>
      <c r="AG18" s="148">
        <v>-2854</v>
      </c>
      <c r="AH18" s="175"/>
      <c r="AI18" s="148">
        <v>-790</v>
      </c>
      <c r="AJ18" s="148">
        <v>-755</v>
      </c>
      <c r="AK18" s="148">
        <f>+AK14+AK15+AK16+AK17</f>
        <v>-615</v>
      </c>
      <c r="AL18" s="16">
        <f>AL14+AL15+AL16+AL17</f>
        <v>-604</v>
      </c>
      <c r="AM18" s="16">
        <f>AM14+AM15+AM16+AM17</f>
        <v>-2764</v>
      </c>
      <c r="AN18" s="53"/>
      <c r="AO18" s="282">
        <f>AO14+AO15+AO16++AO17</f>
        <v>-632</v>
      </c>
      <c r="AP18" s="282">
        <f aca="true" t="shared" si="2" ref="AP18:AV18">AP14+AP15+AP16+AP17</f>
        <v>-546</v>
      </c>
      <c r="AQ18" s="282">
        <f t="shared" si="2"/>
        <v>19</v>
      </c>
      <c r="AR18" s="372">
        <f t="shared" si="2"/>
        <v>552</v>
      </c>
      <c r="AS18" s="372">
        <f t="shared" si="2"/>
        <v>-607</v>
      </c>
      <c r="AT18" s="382">
        <f t="shared" si="2"/>
        <v>-381</v>
      </c>
      <c r="AU18" s="424">
        <f t="shared" si="2"/>
        <v>2</v>
      </c>
      <c r="AV18" s="424">
        <f t="shared" si="2"/>
        <v>-574</v>
      </c>
      <c r="AW18" s="424">
        <v>-676</v>
      </c>
      <c r="AX18" s="424">
        <f>AX14+AX15+AX16+AX17</f>
        <v>-1629</v>
      </c>
      <c r="AY18" s="424">
        <v>-1559</v>
      </c>
      <c r="AZ18" s="424">
        <f>+AZ14+AZ15+AZ16+AZ17</f>
        <v>-651</v>
      </c>
      <c r="BA18" s="418">
        <f>+BA14+BA15+BA16+BA17</f>
        <v>-833</v>
      </c>
    </row>
    <row r="19" spans="1:53" ht="12" customHeight="1">
      <c r="A19" s="614"/>
      <c r="B19" s="3"/>
      <c r="C19" s="55"/>
      <c r="D19" s="53"/>
      <c r="E19" s="56"/>
      <c r="F19" s="55"/>
      <c r="G19" s="55"/>
      <c r="H19" s="55"/>
      <c r="I19" s="55"/>
      <c r="K19" s="56"/>
      <c r="L19" s="55"/>
      <c r="M19" s="55"/>
      <c r="N19" s="55"/>
      <c r="O19" s="55"/>
      <c r="Q19" s="56"/>
      <c r="R19" s="55"/>
      <c r="S19" s="55"/>
      <c r="T19" s="55"/>
      <c r="U19" s="25"/>
      <c r="W19" s="56"/>
      <c r="X19" s="25"/>
      <c r="Y19" s="25"/>
      <c r="Z19" s="25"/>
      <c r="AA19" s="25"/>
      <c r="AC19" s="56"/>
      <c r="AD19" s="69"/>
      <c r="AE19" s="161"/>
      <c r="AF19" s="161"/>
      <c r="AG19" s="161"/>
      <c r="AH19" s="174"/>
      <c r="AI19" s="69"/>
      <c r="AJ19" s="161"/>
      <c r="AK19" s="161"/>
      <c r="AL19" s="25"/>
      <c r="AM19" s="25"/>
      <c r="AN19" s="54"/>
      <c r="AO19" s="290"/>
      <c r="AP19" s="290"/>
      <c r="AQ19" s="290"/>
      <c r="AR19" s="290"/>
      <c r="AS19" s="290"/>
      <c r="AT19" s="390"/>
      <c r="AU19" s="390"/>
      <c r="AV19" s="390"/>
      <c r="AW19" s="390"/>
      <c r="AX19" s="390"/>
      <c r="AY19" s="390"/>
      <c r="AZ19" s="390"/>
      <c r="BA19" s="419"/>
    </row>
    <row r="20" spans="1:53" ht="12" customHeight="1">
      <c r="A20" s="601" t="s">
        <v>183</v>
      </c>
      <c r="B20" s="4"/>
      <c r="C20" s="40">
        <v>1974</v>
      </c>
      <c r="D20" s="54"/>
      <c r="E20" s="57">
        <v>1137</v>
      </c>
      <c r="F20" s="40">
        <v>2261</v>
      </c>
      <c r="G20" s="40">
        <v>648</v>
      </c>
      <c r="H20" s="40">
        <v>910</v>
      </c>
      <c r="I20" s="40">
        <v>4956</v>
      </c>
      <c r="K20" s="57">
        <v>1044</v>
      </c>
      <c r="L20" s="40">
        <v>870</v>
      </c>
      <c r="M20" s="40">
        <v>915</v>
      </c>
      <c r="N20" s="40">
        <v>369</v>
      </c>
      <c r="O20" s="40">
        <v>3198</v>
      </c>
      <c r="Q20" s="57">
        <v>761</v>
      </c>
      <c r="R20" s="40">
        <v>676</v>
      </c>
      <c r="S20" s="40">
        <v>198</v>
      </c>
      <c r="T20" s="40">
        <v>781</v>
      </c>
      <c r="U20" s="40">
        <v>2416</v>
      </c>
      <c r="W20" s="57">
        <v>1112</v>
      </c>
      <c r="X20" s="40">
        <v>932</v>
      </c>
      <c r="Y20" s="40">
        <f>-8+8</f>
        <v>0</v>
      </c>
      <c r="Z20" s="40">
        <v>213</v>
      </c>
      <c r="AA20" s="40">
        <v>2257</v>
      </c>
      <c r="AC20" s="57">
        <v>3143</v>
      </c>
      <c r="AD20" s="155">
        <v>280</v>
      </c>
      <c r="AE20" s="155">
        <v>953</v>
      </c>
      <c r="AF20" s="155">
        <v>293</v>
      </c>
      <c r="AG20" s="155">
        <v>4669</v>
      </c>
      <c r="AH20" s="174"/>
      <c r="AI20" s="155">
        <v>1662</v>
      </c>
      <c r="AJ20" s="155">
        <v>2390</v>
      </c>
      <c r="AK20" s="155">
        <v>0</v>
      </c>
      <c r="AL20" s="40">
        <v>0</v>
      </c>
      <c r="AM20" s="40">
        <v>4052</v>
      </c>
      <c r="AN20" s="54"/>
      <c r="AO20" s="291">
        <v>0</v>
      </c>
      <c r="AP20" s="291">
        <v>0</v>
      </c>
      <c r="AQ20" s="291">
        <v>0</v>
      </c>
      <c r="AR20" s="291">
        <v>205</v>
      </c>
      <c r="AS20" s="291">
        <v>205</v>
      </c>
      <c r="AT20" s="391">
        <v>0</v>
      </c>
      <c r="AU20" s="391">
        <v>0</v>
      </c>
      <c r="AV20" s="391">
        <v>605</v>
      </c>
      <c r="AW20" s="391">
        <v>0</v>
      </c>
      <c r="AX20" s="391">
        <v>605</v>
      </c>
      <c r="AY20" s="391">
        <v>1299</v>
      </c>
      <c r="AZ20" s="391">
        <v>0</v>
      </c>
      <c r="BA20" s="420">
        <v>215</v>
      </c>
    </row>
    <row r="21" spans="1:53" ht="12" customHeight="1">
      <c r="A21" s="601" t="s">
        <v>267</v>
      </c>
      <c r="B21" s="4"/>
      <c r="C21" s="40">
        <v>0</v>
      </c>
      <c r="D21" s="54">
        <v>0</v>
      </c>
      <c r="E21" s="57">
        <v>0</v>
      </c>
      <c r="F21" s="40">
        <v>0</v>
      </c>
      <c r="G21" s="40">
        <v>0</v>
      </c>
      <c r="H21" s="40">
        <v>0</v>
      </c>
      <c r="I21" s="40">
        <v>0</v>
      </c>
      <c r="K21" s="57">
        <v>0</v>
      </c>
      <c r="L21" s="40">
        <v>0</v>
      </c>
      <c r="M21" s="40">
        <v>0</v>
      </c>
      <c r="N21" s="40">
        <v>0</v>
      </c>
      <c r="O21" s="40">
        <v>0</v>
      </c>
      <c r="Q21" s="57">
        <v>0</v>
      </c>
      <c r="R21" s="40">
        <v>0</v>
      </c>
      <c r="S21" s="40">
        <v>0</v>
      </c>
      <c r="T21" s="40">
        <v>0</v>
      </c>
      <c r="U21" s="40">
        <v>0</v>
      </c>
      <c r="W21" s="57">
        <v>0</v>
      </c>
      <c r="X21" s="40">
        <v>0</v>
      </c>
      <c r="Y21" s="40">
        <v>0</v>
      </c>
      <c r="Z21" s="40">
        <v>0</v>
      </c>
      <c r="AA21" s="40">
        <v>0</v>
      </c>
      <c r="AC21" s="57">
        <v>0</v>
      </c>
      <c r="AD21" s="155">
        <v>2000</v>
      </c>
      <c r="AE21" s="155">
        <v>0</v>
      </c>
      <c r="AF21" s="120">
        <v>0</v>
      </c>
      <c r="AG21" s="155">
        <v>2000</v>
      </c>
      <c r="AH21" s="174"/>
      <c r="AI21" s="155">
        <v>0</v>
      </c>
      <c r="AJ21" s="155">
        <v>0</v>
      </c>
      <c r="AK21" s="155">
        <v>0</v>
      </c>
      <c r="AL21" s="40">
        <v>0</v>
      </c>
      <c r="AM21" s="40">
        <v>0</v>
      </c>
      <c r="AN21" s="54"/>
      <c r="AO21" s="291">
        <v>0</v>
      </c>
      <c r="AP21" s="291">
        <v>0</v>
      </c>
      <c r="AQ21" s="291">
        <v>0</v>
      </c>
      <c r="AR21" s="291">
        <v>0</v>
      </c>
      <c r="AS21" s="291">
        <v>0</v>
      </c>
      <c r="AT21" s="391">
        <v>0</v>
      </c>
      <c r="AU21" s="391">
        <v>0</v>
      </c>
      <c r="AV21" s="391">
        <v>0</v>
      </c>
      <c r="AW21" s="391">
        <v>0</v>
      </c>
      <c r="AX21" s="391">
        <v>0</v>
      </c>
      <c r="AY21" s="391">
        <v>0</v>
      </c>
      <c r="AZ21" s="391">
        <v>0</v>
      </c>
      <c r="BA21" s="420">
        <v>0</v>
      </c>
    </row>
    <row r="22" spans="1:53" ht="12" customHeight="1">
      <c r="A22" s="547" t="s">
        <v>185</v>
      </c>
      <c r="B22" s="4"/>
      <c r="C22" s="19">
        <v>-1135</v>
      </c>
      <c r="D22" s="54"/>
      <c r="E22" s="41">
        <v>0</v>
      </c>
      <c r="F22" s="19">
        <v>0</v>
      </c>
      <c r="G22" s="19">
        <v>-214</v>
      </c>
      <c r="H22" s="19">
        <v>-161</v>
      </c>
      <c r="I22" s="19">
        <v>-375</v>
      </c>
      <c r="K22" s="41">
        <v>-325</v>
      </c>
      <c r="L22" s="19">
        <v>-593</v>
      </c>
      <c r="M22" s="19">
        <v>-813</v>
      </c>
      <c r="N22" s="19">
        <v>-870</v>
      </c>
      <c r="O22" s="19">
        <v>-2601</v>
      </c>
      <c r="Q22" s="41">
        <v>-733</v>
      </c>
      <c r="R22" s="19">
        <v>-774</v>
      </c>
      <c r="S22" s="19">
        <v>0</v>
      </c>
      <c r="T22" s="19">
        <v>-523</v>
      </c>
      <c r="U22" s="19">
        <v>-2030</v>
      </c>
      <c r="W22" s="41">
        <v>-481</v>
      </c>
      <c r="X22" s="19">
        <v>-665</v>
      </c>
      <c r="Y22" s="19">
        <f>-235-8</f>
        <v>-243</v>
      </c>
      <c r="Z22" s="40">
        <f>-764+80</f>
        <v>-684</v>
      </c>
      <c r="AA22" s="40">
        <f>W22+X22+Y22+Z22</f>
        <v>-2073</v>
      </c>
      <c r="AC22" s="41">
        <v>-3065</v>
      </c>
      <c r="AD22" s="120">
        <v>-1951</v>
      </c>
      <c r="AE22" s="120">
        <v>-1352</v>
      </c>
      <c r="AF22" s="120">
        <v>-1358</v>
      </c>
      <c r="AG22" s="120">
        <v>-7726</v>
      </c>
      <c r="AH22" s="174"/>
      <c r="AI22" s="120">
        <v>-449</v>
      </c>
      <c r="AJ22" s="120">
        <v>-2693</v>
      </c>
      <c r="AK22" s="120">
        <v>-1275</v>
      </c>
      <c r="AL22" s="40">
        <v>-61</v>
      </c>
      <c r="AM22" s="19">
        <v>-4478</v>
      </c>
      <c r="AN22" s="54"/>
      <c r="AO22" s="291">
        <v>-1085</v>
      </c>
      <c r="AP22" s="291">
        <v>-458</v>
      </c>
      <c r="AQ22" s="291">
        <v>-68</v>
      </c>
      <c r="AR22" s="291">
        <v>-278</v>
      </c>
      <c r="AS22" s="291">
        <v>-1889</v>
      </c>
      <c r="AT22" s="391">
        <v>-70</v>
      </c>
      <c r="AU22" s="391">
        <v>-83</v>
      </c>
      <c r="AV22" s="391">
        <v>-100</v>
      </c>
      <c r="AW22" s="391">
        <v>-99</v>
      </c>
      <c r="AX22" s="391">
        <v>-352</v>
      </c>
      <c r="AY22" s="391">
        <v>-1256</v>
      </c>
      <c r="AZ22" s="391">
        <v>-298</v>
      </c>
      <c r="BA22" s="420">
        <v>-88</v>
      </c>
    </row>
    <row r="23" spans="1:53" ht="12" customHeight="1">
      <c r="A23" s="547" t="s">
        <v>268</v>
      </c>
      <c r="B23" s="4"/>
      <c r="C23" s="19">
        <v>-1000</v>
      </c>
      <c r="D23" s="54"/>
      <c r="E23" s="41">
        <v>0</v>
      </c>
      <c r="F23" s="19">
        <v>-400</v>
      </c>
      <c r="G23" s="19">
        <v>0</v>
      </c>
      <c r="H23" s="19">
        <v>-400</v>
      </c>
      <c r="I23" s="19">
        <v>-800</v>
      </c>
      <c r="K23" s="41">
        <v>0</v>
      </c>
      <c r="L23" s="19">
        <v>0</v>
      </c>
      <c r="M23" s="19">
        <v>-150</v>
      </c>
      <c r="N23" s="19">
        <v>-150</v>
      </c>
      <c r="O23" s="19">
        <v>-300</v>
      </c>
      <c r="Q23" s="41">
        <v>0</v>
      </c>
      <c r="R23" s="19">
        <v>0</v>
      </c>
      <c r="S23" s="19">
        <v>-100</v>
      </c>
      <c r="T23" s="19">
        <v>-100</v>
      </c>
      <c r="U23" s="19">
        <v>-200</v>
      </c>
      <c r="W23" s="41">
        <v>0</v>
      </c>
      <c r="X23" s="19">
        <v>0</v>
      </c>
      <c r="Y23" s="19">
        <v>0</v>
      </c>
      <c r="Z23" s="19">
        <v>0</v>
      </c>
      <c r="AA23" s="19">
        <v>0</v>
      </c>
      <c r="AC23" s="41">
        <v>0</v>
      </c>
      <c r="AD23" s="120">
        <v>0</v>
      </c>
      <c r="AE23" s="120">
        <v>0</v>
      </c>
      <c r="AF23" s="120">
        <v>0</v>
      </c>
      <c r="AG23" s="120">
        <v>0</v>
      </c>
      <c r="AH23" s="174"/>
      <c r="AI23" s="120">
        <v>0</v>
      </c>
      <c r="AJ23" s="120">
        <v>0</v>
      </c>
      <c r="AK23" s="120">
        <v>0</v>
      </c>
      <c r="AL23" s="40">
        <f>AM23-AI23-AJ23-AK23</f>
        <v>0</v>
      </c>
      <c r="AM23" s="19">
        <v>0</v>
      </c>
      <c r="AN23" s="54"/>
      <c r="AO23" s="291">
        <v>0</v>
      </c>
      <c r="AP23" s="291">
        <v>-300</v>
      </c>
      <c r="AQ23" s="291">
        <v>0</v>
      </c>
      <c r="AR23" s="291">
        <v>0</v>
      </c>
      <c r="AS23" s="291">
        <v>-300</v>
      </c>
      <c r="AT23" s="391">
        <v>0</v>
      </c>
      <c r="AU23" s="391">
        <v>0</v>
      </c>
      <c r="AV23" s="391">
        <v>-600</v>
      </c>
      <c r="AW23" s="391">
        <v>0</v>
      </c>
      <c r="AX23" s="391">
        <v>-600</v>
      </c>
      <c r="AY23" s="391">
        <v>0</v>
      </c>
      <c r="AZ23" s="391">
        <v>0</v>
      </c>
      <c r="BA23" s="420">
        <v>-200</v>
      </c>
    </row>
    <row r="24" spans="1:53" ht="12" customHeight="1">
      <c r="A24" s="547" t="s">
        <v>269</v>
      </c>
      <c r="B24" s="4"/>
      <c r="C24" s="19">
        <v>-21</v>
      </c>
      <c r="D24" s="54"/>
      <c r="E24" s="41">
        <v>-13</v>
      </c>
      <c r="F24" s="19">
        <v>-15</v>
      </c>
      <c r="G24" s="19">
        <v>-28</v>
      </c>
      <c r="H24" s="19">
        <v>-19</v>
      </c>
      <c r="I24" s="19">
        <v>-75</v>
      </c>
      <c r="K24" s="41">
        <v>-22</v>
      </c>
      <c r="L24" s="19">
        <v>-21</v>
      </c>
      <c r="M24" s="19">
        <v>-37</v>
      </c>
      <c r="N24" s="19">
        <v>-39</v>
      </c>
      <c r="O24" s="19">
        <v>-119</v>
      </c>
      <c r="Q24" s="41">
        <v>-36</v>
      </c>
      <c r="R24" s="19">
        <v>-34</v>
      </c>
      <c r="S24" s="19">
        <v>-34</v>
      </c>
      <c r="T24" s="19">
        <v>-34</v>
      </c>
      <c r="U24" s="19">
        <v>-138</v>
      </c>
      <c r="W24" s="41">
        <v>-30</v>
      </c>
      <c r="X24" s="19">
        <v>-36</v>
      </c>
      <c r="Y24" s="19">
        <v>-41</v>
      </c>
      <c r="Z24" s="19">
        <v>-45</v>
      </c>
      <c r="AA24" s="19">
        <v>-152</v>
      </c>
      <c r="AC24" s="41">
        <v>-48</v>
      </c>
      <c r="AD24" s="120">
        <v>-51</v>
      </c>
      <c r="AE24" s="120">
        <v>-8</v>
      </c>
      <c r="AF24" s="120">
        <v>-121</v>
      </c>
      <c r="AG24" s="120">
        <v>-228</v>
      </c>
      <c r="AH24" s="174"/>
      <c r="AI24" s="120">
        <v>-63</v>
      </c>
      <c r="AJ24" s="120">
        <v>-65</v>
      </c>
      <c r="AK24" s="120">
        <v>-20</v>
      </c>
      <c r="AL24" s="40">
        <v>-25</v>
      </c>
      <c r="AM24" s="19">
        <v>-173</v>
      </c>
      <c r="AN24" s="54"/>
      <c r="AO24" s="291">
        <v>-33</v>
      </c>
      <c r="AP24" s="291">
        <v>-21</v>
      </c>
      <c r="AQ24" s="291">
        <v>-15</v>
      </c>
      <c r="AR24" s="291">
        <v>-20</v>
      </c>
      <c r="AS24" s="291">
        <v>-89</v>
      </c>
      <c r="AT24" s="391">
        <v>-26</v>
      </c>
      <c r="AU24" s="391">
        <v>-32</v>
      </c>
      <c r="AV24" s="391">
        <v>-18</v>
      </c>
      <c r="AW24" s="391">
        <v>-41</v>
      </c>
      <c r="AX24" s="391">
        <v>-117</v>
      </c>
      <c r="AY24" s="391">
        <v>-30</v>
      </c>
      <c r="AZ24" s="391">
        <v>-39</v>
      </c>
      <c r="BA24" s="420">
        <v>-18</v>
      </c>
    </row>
    <row r="25" spans="1:53" ht="12" customHeight="1">
      <c r="A25" s="547" t="s">
        <v>181</v>
      </c>
      <c r="B25" s="4"/>
      <c r="C25" s="19">
        <v>-40</v>
      </c>
      <c r="D25" s="54">
        <v>0</v>
      </c>
      <c r="E25" s="41">
        <v>0</v>
      </c>
      <c r="F25" s="19">
        <v>0</v>
      </c>
      <c r="G25" s="19">
        <v>0</v>
      </c>
      <c r="H25" s="19">
        <v>-23</v>
      </c>
      <c r="I25" s="19">
        <v>-23</v>
      </c>
      <c r="J25" s="60">
        <v>0</v>
      </c>
      <c r="K25" s="41">
        <v>0</v>
      </c>
      <c r="L25" s="19">
        <v>8</v>
      </c>
      <c r="M25" s="19">
        <v>0</v>
      </c>
      <c r="N25" s="19">
        <v>0</v>
      </c>
      <c r="O25" s="19">
        <v>8</v>
      </c>
      <c r="Q25" s="41">
        <v>0</v>
      </c>
      <c r="R25" s="19">
        <v>227</v>
      </c>
      <c r="S25" s="19">
        <v>-67</v>
      </c>
      <c r="T25" s="19">
        <v>0</v>
      </c>
      <c r="U25" s="19">
        <v>160</v>
      </c>
      <c r="W25" s="41">
        <v>60</v>
      </c>
      <c r="X25" s="19">
        <v>-100</v>
      </c>
      <c r="Y25" s="19">
        <v>-10</v>
      </c>
      <c r="Z25" s="40">
        <f>50-80</f>
        <v>-30</v>
      </c>
      <c r="AA25" s="40">
        <f>W25+X25+Y25+Z25</f>
        <v>-80</v>
      </c>
      <c r="AC25" s="41">
        <v>55</v>
      </c>
      <c r="AD25" s="120">
        <v>-98</v>
      </c>
      <c r="AE25" s="120">
        <v>22</v>
      </c>
      <c r="AF25" s="120">
        <v>41</v>
      </c>
      <c r="AG25" s="120">
        <v>20</v>
      </c>
      <c r="AH25" s="174"/>
      <c r="AI25" s="120">
        <v>-54</v>
      </c>
      <c r="AJ25" s="120">
        <v>68</v>
      </c>
      <c r="AK25" s="120">
        <v>47</v>
      </c>
      <c r="AL25" s="40">
        <v>31</v>
      </c>
      <c r="AM25" s="19">
        <v>92</v>
      </c>
      <c r="AN25" s="54"/>
      <c r="AO25" s="291">
        <v>-69</v>
      </c>
      <c r="AP25" s="291">
        <v>96</v>
      </c>
      <c r="AQ25" s="291">
        <v>33</v>
      </c>
      <c r="AR25" s="291">
        <v>127</v>
      </c>
      <c r="AS25" s="291">
        <v>187</v>
      </c>
      <c r="AT25" s="391">
        <v>-26</v>
      </c>
      <c r="AU25" s="391">
        <v>-103</v>
      </c>
      <c r="AV25" s="391">
        <v>56</v>
      </c>
      <c r="AW25" s="391">
        <v>636</v>
      </c>
      <c r="AX25" s="391">
        <v>563</v>
      </c>
      <c r="AY25" s="391">
        <v>73</v>
      </c>
      <c r="AZ25" s="391">
        <v>-56</v>
      </c>
      <c r="BA25" s="420">
        <v>12</v>
      </c>
    </row>
    <row r="26" spans="1:53" ht="12" customHeight="1">
      <c r="A26" s="599" t="s">
        <v>188</v>
      </c>
      <c r="B26" s="7"/>
      <c r="C26" s="16">
        <f>SUM(C20:C25)</f>
        <v>-222</v>
      </c>
      <c r="D26" s="54">
        <f aca="true" t="shared" si="3" ref="D26:I26">SUM(D20:D25)</f>
        <v>0</v>
      </c>
      <c r="E26" s="38">
        <f t="shared" si="3"/>
        <v>1124</v>
      </c>
      <c r="F26" s="16">
        <f t="shared" si="3"/>
        <v>1846</v>
      </c>
      <c r="G26" s="16">
        <f t="shared" si="3"/>
        <v>406</v>
      </c>
      <c r="H26" s="16">
        <f t="shared" si="3"/>
        <v>307</v>
      </c>
      <c r="I26" s="16">
        <f t="shared" si="3"/>
        <v>3683</v>
      </c>
      <c r="K26" s="38">
        <f>SUM(K20:K25)</f>
        <v>697</v>
      </c>
      <c r="L26" s="16">
        <f>SUM(L20:L25)</f>
        <v>264</v>
      </c>
      <c r="M26" s="16">
        <f>SUM(M20:M25)</f>
        <v>-85</v>
      </c>
      <c r="N26" s="16">
        <f>SUM(N20:N25)</f>
        <v>-690</v>
      </c>
      <c r="O26" s="16">
        <f>SUM(O20:O25)</f>
        <v>186</v>
      </c>
      <c r="Q26" s="38">
        <f>SUM(Q20:Q25)</f>
        <v>-8</v>
      </c>
      <c r="R26" s="16">
        <f>SUM(R20:R25)</f>
        <v>95</v>
      </c>
      <c r="S26" s="16">
        <f>SUM(S20:S25)</f>
        <v>-3</v>
      </c>
      <c r="T26" s="16">
        <f>SUM(T20:T25)</f>
        <v>124</v>
      </c>
      <c r="U26" s="16">
        <f>U20+U22+U23+U24+U25</f>
        <v>208</v>
      </c>
      <c r="W26" s="38">
        <f>SUM(W20:W25)</f>
        <v>661</v>
      </c>
      <c r="X26" s="16">
        <f>SUM(X20:X25)</f>
        <v>131</v>
      </c>
      <c r="Y26" s="16">
        <f>SUM(Y20:Y25)</f>
        <v>-294</v>
      </c>
      <c r="Z26" s="16">
        <v>-546</v>
      </c>
      <c r="AA26" s="16">
        <f>SUM(AA20:AA25)</f>
        <v>-48</v>
      </c>
      <c r="AC26" s="38">
        <f>SUM(AC20:AC25)</f>
        <v>85</v>
      </c>
      <c r="AD26" s="148">
        <f>SUM(AD20:AD25)</f>
        <v>180</v>
      </c>
      <c r="AE26" s="148">
        <v>-385</v>
      </c>
      <c r="AF26" s="148">
        <v>-1145</v>
      </c>
      <c r="AG26" s="148">
        <v>-1265</v>
      </c>
      <c r="AH26" s="175"/>
      <c r="AI26" s="148">
        <v>1096</v>
      </c>
      <c r="AJ26" s="148">
        <v>-300</v>
      </c>
      <c r="AK26" s="148">
        <f>+AK20+AK21+AK22+AK23+AK24+AK25</f>
        <v>-1248</v>
      </c>
      <c r="AL26" s="16">
        <f>AL20+AL21+AL22+AL23+AL24+AL25</f>
        <v>-55</v>
      </c>
      <c r="AM26" s="16">
        <f>AM20+AM21+AM22+AM23+AM24+AM25</f>
        <v>-507</v>
      </c>
      <c r="AN26" s="53"/>
      <c r="AO26" s="282">
        <f>AO20+AO21+AO22+AO24+AO25</f>
        <v>-1187</v>
      </c>
      <c r="AP26" s="282">
        <f aca="true" t="shared" si="4" ref="AP26:AU26">AP22+AP23+AP24+AP25</f>
        <v>-683</v>
      </c>
      <c r="AQ26" s="282">
        <f t="shared" si="4"/>
        <v>-50</v>
      </c>
      <c r="AR26" s="372">
        <f t="shared" si="4"/>
        <v>-171</v>
      </c>
      <c r="AS26" s="372">
        <f t="shared" si="4"/>
        <v>-2091</v>
      </c>
      <c r="AT26" s="382">
        <f t="shared" si="4"/>
        <v>-122</v>
      </c>
      <c r="AU26" s="424">
        <f t="shared" si="4"/>
        <v>-218</v>
      </c>
      <c r="AV26" s="424">
        <f>AV22+AV23+AV24+AV25</f>
        <v>-662</v>
      </c>
      <c r="AW26" s="424">
        <v>496</v>
      </c>
      <c r="AX26" s="424">
        <f>AX22+AX23+AX24+AX25</f>
        <v>-506</v>
      </c>
      <c r="AY26" s="424">
        <v>86</v>
      </c>
      <c r="AZ26" s="424">
        <f>+AZ20+AZ21+AZ22+AZ23+AZ24+AZ25</f>
        <v>-393</v>
      </c>
      <c r="BA26" s="418">
        <f>+BA20+BA22+BA21+BA23+BA24+BA25</f>
        <v>-79</v>
      </c>
    </row>
    <row r="27" spans="1:53" ht="12" customHeight="1">
      <c r="A27" s="615"/>
      <c r="B27" s="7"/>
      <c r="C27" s="55"/>
      <c r="D27" s="53"/>
      <c r="E27" s="56"/>
      <c r="F27" s="55"/>
      <c r="G27" s="55"/>
      <c r="H27" s="55"/>
      <c r="I27" s="55"/>
      <c r="K27" s="56"/>
      <c r="L27" s="55"/>
      <c r="M27" s="55"/>
      <c r="N27" s="55"/>
      <c r="O27" s="55"/>
      <c r="Q27" s="56"/>
      <c r="R27" s="55"/>
      <c r="S27" s="55"/>
      <c r="T27" s="55"/>
      <c r="U27" s="25"/>
      <c r="W27" s="56"/>
      <c r="X27" s="25"/>
      <c r="Y27" s="25"/>
      <c r="Z27" s="25"/>
      <c r="AA27" s="25"/>
      <c r="AC27" s="56"/>
      <c r="AD27" s="69"/>
      <c r="AE27" s="161"/>
      <c r="AF27" s="161"/>
      <c r="AG27" s="161"/>
      <c r="AH27" s="174"/>
      <c r="AI27" s="69"/>
      <c r="AJ27" s="161"/>
      <c r="AK27" s="161"/>
      <c r="AL27" s="25"/>
      <c r="AM27" s="25"/>
      <c r="AN27" s="54"/>
      <c r="AO27" s="290"/>
      <c r="AP27" s="290"/>
      <c r="AQ27" s="290"/>
      <c r="AR27" s="290"/>
      <c r="AS27" s="290"/>
      <c r="AT27" s="390"/>
      <c r="AU27" s="390"/>
      <c r="AV27" s="390"/>
      <c r="AW27" s="390"/>
      <c r="AX27" s="390"/>
      <c r="AY27" s="390"/>
      <c r="AZ27" s="390"/>
      <c r="BA27" s="419"/>
    </row>
    <row r="28" spans="1:53" ht="12" customHeight="1">
      <c r="A28" s="603" t="s">
        <v>189</v>
      </c>
      <c r="B28" s="7"/>
      <c r="C28" s="58">
        <f>C12+C18+C26</f>
        <v>-50</v>
      </c>
      <c r="D28" s="53"/>
      <c r="E28" s="59">
        <f>E12+E18+E26</f>
        <v>397</v>
      </c>
      <c r="F28" s="58">
        <f>F12+F18+F26</f>
        <v>-44</v>
      </c>
      <c r="G28" s="58">
        <f>G12+G18+G26</f>
        <v>158</v>
      </c>
      <c r="H28" s="58">
        <f>H12+H18+H26</f>
        <v>-421</v>
      </c>
      <c r="I28" s="58">
        <f>I12+I18+I26</f>
        <v>90</v>
      </c>
      <c r="K28" s="59">
        <f>K12+K18+K26</f>
        <v>82</v>
      </c>
      <c r="L28" s="58">
        <f>L12+L18+L26</f>
        <v>124</v>
      </c>
      <c r="M28" s="58">
        <f>M12+M18+M26</f>
        <v>-11</v>
      </c>
      <c r="N28" s="58">
        <f>N12+N18+N26</f>
        <v>98</v>
      </c>
      <c r="O28" s="58">
        <f>O12+O18+O26</f>
        <v>293</v>
      </c>
      <c r="Q28" s="59">
        <f>Q12+Q18+Q26</f>
        <v>-112</v>
      </c>
      <c r="R28" s="58">
        <f>R12+R18+R26</f>
        <v>-227</v>
      </c>
      <c r="S28" s="58">
        <f>S12+S18+S26</f>
        <v>6</v>
      </c>
      <c r="T28" s="58">
        <v>109</v>
      </c>
      <c r="U28" s="58">
        <f>U12+U18+U26</f>
        <v>-224</v>
      </c>
      <c r="W28" s="59">
        <f>W12+W18+W26</f>
        <v>-29</v>
      </c>
      <c r="X28" s="58">
        <f>X12+X18+X26</f>
        <v>32</v>
      </c>
      <c r="Y28" s="58">
        <f>Y12+Y18+Y26</f>
        <v>174</v>
      </c>
      <c r="Z28" s="58">
        <f>Z12+Z18+Z26</f>
        <v>191</v>
      </c>
      <c r="AA28" s="58">
        <f>AA12+AA18+AA26</f>
        <v>368</v>
      </c>
      <c r="AC28" s="59">
        <f>AC12+AC18+AC26</f>
        <v>-268</v>
      </c>
      <c r="AD28" s="153">
        <f>AD12+AD18+AD26</f>
        <v>402</v>
      </c>
      <c r="AE28" s="153">
        <f>AE12+AE18+AE26</f>
        <v>-393</v>
      </c>
      <c r="AF28" s="153">
        <f>AG28-AE28-AD28-AC28</f>
        <v>183</v>
      </c>
      <c r="AG28" s="153">
        <v>-76</v>
      </c>
      <c r="AH28" s="175"/>
      <c r="AI28" s="153">
        <v>1360</v>
      </c>
      <c r="AJ28" s="153">
        <v>-184</v>
      </c>
      <c r="AK28" s="153">
        <f>+AK12+AK18+AK26</f>
        <v>-928</v>
      </c>
      <c r="AL28" s="58">
        <v>1297</v>
      </c>
      <c r="AM28" s="58">
        <v>1545</v>
      </c>
      <c r="AN28" s="53"/>
      <c r="AO28" s="292">
        <v>-932</v>
      </c>
      <c r="AP28" s="292">
        <v>-436</v>
      </c>
      <c r="AQ28" s="292">
        <f>AQ12+AQ18+AQ26</f>
        <v>-310</v>
      </c>
      <c r="AR28" s="292">
        <f>AR12+AR18+AR26</f>
        <v>943</v>
      </c>
      <c r="AS28" s="292">
        <f>AS12+AS18+AS26</f>
        <v>-735</v>
      </c>
      <c r="AT28" s="392">
        <v>1336</v>
      </c>
      <c r="AU28" s="392">
        <v>-640</v>
      </c>
      <c r="AV28" s="392">
        <v>-325</v>
      </c>
      <c r="AW28" s="392">
        <v>-715</v>
      </c>
      <c r="AX28" s="392">
        <v>-344</v>
      </c>
      <c r="AY28" s="392">
        <v>289</v>
      </c>
      <c r="AZ28" s="392">
        <f>+AZ12+AZ18+AZ26</f>
        <v>292</v>
      </c>
      <c r="BA28" s="418">
        <f>+BA12+BA18+BA26</f>
        <v>-485</v>
      </c>
    </row>
    <row r="29" spans="1:53" ht="12" customHeight="1">
      <c r="A29" s="598" t="s">
        <v>270</v>
      </c>
      <c r="B29" s="6"/>
      <c r="C29" s="337">
        <v>12</v>
      </c>
      <c r="D29" s="53"/>
      <c r="E29" s="339">
        <v>-16</v>
      </c>
      <c r="F29" s="337">
        <v>1</v>
      </c>
      <c r="G29" s="337">
        <v>-3</v>
      </c>
      <c r="H29" s="337">
        <v>1</v>
      </c>
      <c r="I29" s="337">
        <v>-17</v>
      </c>
      <c r="J29" s="462"/>
      <c r="K29" s="339">
        <v>21</v>
      </c>
      <c r="L29" s="337">
        <v>7</v>
      </c>
      <c r="M29" s="337">
        <v>-22</v>
      </c>
      <c r="N29" s="337">
        <v>25</v>
      </c>
      <c r="O29" s="337">
        <v>31</v>
      </c>
      <c r="P29" s="462"/>
      <c r="Q29" s="339">
        <v>-25</v>
      </c>
      <c r="R29" s="337">
        <v>0</v>
      </c>
      <c r="S29" s="337">
        <v>0</v>
      </c>
      <c r="T29" s="337">
        <v>1</v>
      </c>
      <c r="U29" s="337">
        <v>-24</v>
      </c>
      <c r="V29" s="462"/>
      <c r="W29" s="339">
        <v>10</v>
      </c>
      <c r="X29" s="337">
        <v>2</v>
      </c>
      <c r="Y29" s="337">
        <v>6</v>
      </c>
      <c r="Z29" s="337">
        <v>7</v>
      </c>
      <c r="AA29" s="337">
        <v>25</v>
      </c>
      <c r="AB29" s="462"/>
      <c r="AC29" s="339">
        <v>-32</v>
      </c>
      <c r="AD29" s="356">
        <v>-3</v>
      </c>
      <c r="AE29" s="356">
        <f>-31-AC29-AD29</f>
        <v>4</v>
      </c>
      <c r="AF29" s="356">
        <f>AG29-AE29-AD29-AC29</f>
        <v>-4</v>
      </c>
      <c r="AG29" s="356">
        <v>-35</v>
      </c>
      <c r="AH29" s="175"/>
      <c r="AI29" s="356">
        <v>23</v>
      </c>
      <c r="AJ29" s="356">
        <v>-8</v>
      </c>
      <c r="AK29" s="356">
        <v>2</v>
      </c>
      <c r="AL29" s="345">
        <v>57</v>
      </c>
      <c r="AM29" s="337">
        <v>74</v>
      </c>
      <c r="AN29" s="53"/>
      <c r="AO29" s="392">
        <v>-48</v>
      </c>
      <c r="AP29" s="392">
        <v>-8</v>
      </c>
      <c r="AQ29" s="392">
        <v>-8</v>
      </c>
      <c r="AR29" s="392">
        <v>-4</v>
      </c>
      <c r="AS29" s="392">
        <v>-68</v>
      </c>
      <c r="AT29" s="392">
        <v>-14</v>
      </c>
      <c r="AU29" s="392">
        <v>15</v>
      </c>
      <c r="AV29" s="392">
        <v>-1</v>
      </c>
      <c r="AW29" s="392">
        <v>-3</v>
      </c>
      <c r="AX29" s="392">
        <v>-3</v>
      </c>
      <c r="AY29" s="392">
        <v>-3</v>
      </c>
      <c r="AZ29" s="392">
        <v>12</v>
      </c>
      <c r="BA29" s="427">
        <v>-9</v>
      </c>
    </row>
    <row r="30" spans="1:53" ht="12" customHeight="1">
      <c r="A30" s="598" t="s">
        <v>191</v>
      </c>
      <c r="B30" s="6"/>
      <c r="C30" s="16">
        <v>123</v>
      </c>
      <c r="D30" s="53"/>
      <c r="E30" s="38">
        <v>85</v>
      </c>
      <c r="F30" s="16">
        <v>466</v>
      </c>
      <c r="G30" s="16">
        <v>423</v>
      </c>
      <c r="H30" s="16">
        <v>578</v>
      </c>
      <c r="I30" s="16">
        <v>85</v>
      </c>
      <c r="K30" s="38">
        <v>158</v>
      </c>
      <c r="L30" s="16">
        <v>261</v>
      </c>
      <c r="M30" s="16">
        <v>392</v>
      </c>
      <c r="N30" s="16">
        <v>359</v>
      </c>
      <c r="O30" s="16">
        <v>158</v>
      </c>
      <c r="Q30" s="38">
        <v>482</v>
      </c>
      <c r="R30" s="16">
        <v>345</v>
      </c>
      <c r="S30" s="16">
        <v>118</v>
      </c>
      <c r="T30" s="16">
        <v>124</v>
      </c>
      <c r="U30" s="16">
        <v>482</v>
      </c>
      <c r="W30" s="38">
        <v>234</v>
      </c>
      <c r="X30" s="16">
        <v>215</v>
      </c>
      <c r="Y30" s="16">
        <v>249</v>
      </c>
      <c r="Z30" s="16">
        <v>429</v>
      </c>
      <c r="AA30" s="16">
        <v>234</v>
      </c>
      <c r="AC30" s="38">
        <v>627</v>
      </c>
      <c r="AD30" s="148">
        <v>327</v>
      </c>
      <c r="AE30" s="148">
        <f>AD31</f>
        <v>726</v>
      </c>
      <c r="AF30" s="148">
        <v>337</v>
      </c>
      <c r="AG30" s="148">
        <v>627</v>
      </c>
      <c r="AH30" s="175"/>
      <c r="AI30" s="148">
        <v>516</v>
      </c>
      <c r="AJ30" s="148">
        <v>1899</v>
      </c>
      <c r="AK30" s="148">
        <v>1707</v>
      </c>
      <c r="AL30" s="16">
        <v>781</v>
      </c>
      <c r="AM30" s="16">
        <v>516</v>
      </c>
      <c r="AN30" s="53"/>
      <c r="AO30" s="282">
        <v>2135</v>
      </c>
      <c r="AP30" s="282">
        <v>1155</v>
      </c>
      <c r="AQ30" s="282">
        <v>711</v>
      </c>
      <c r="AR30" s="372">
        <v>393</v>
      </c>
      <c r="AS30" s="372">
        <v>2135</v>
      </c>
      <c r="AT30" s="382">
        <v>1332</v>
      </c>
      <c r="AU30" s="382">
        <v>2654</v>
      </c>
      <c r="AV30" s="424">
        <v>2029</v>
      </c>
      <c r="AW30" s="424">
        <v>1703</v>
      </c>
      <c r="AX30" s="424">
        <v>1332</v>
      </c>
      <c r="AY30" s="424">
        <v>985</v>
      </c>
      <c r="AZ30" s="424">
        <v>1271</v>
      </c>
      <c r="BA30" s="427">
        <v>1575</v>
      </c>
    </row>
    <row r="31" spans="1:53" ht="12" customHeight="1">
      <c r="A31" s="599" t="s">
        <v>192</v>
      </c>
      <c r="B31" s="7"/>
      <c r="C31" s="16">
        <f>C28+C30+C29</f>
        <v>85</v>
      </c>
      <c r="D31" s="53"/>
      <c r="E31" s="38">
        <f>E28+E30+E29</f>
        <v>466</v>
      </c>
      <c r="F31" s="16">
        <f>F28+F30+F29</f>
        <v>423</v>
      </c>
      <c r="G31" s="16">
        <f>G28+G30+G29</f>
        <v>578</v>
      </c>
      <c r="H31" s="16">
        <f>H28+H30+H29</f>
        <v>158</v>
      </c>
      <c r="I31" s="16">
        <f>I28+I30+I29</f>
        <v>158</v>
      </c>
      <c r="J31" s="53"/>
      <c r="K31" s="38">
        <f aca="true" t="shared" si="5" ref="K31:S31">K28+K30+K29</f>
        <v>261</v>
      </c>
      <c r="L31" s="16">
        <f t="shared" si="5"/>
        <v>392</v>
      </c>
      <c r="M31" s="16">
        <f t="shared" si="5"/>
        <v>359</v>
      </c>
      <c r="N31" s="16">
        <f t="shared" si="5"/>
        <v>482</v>
      </c>
      <c r="O31" s="16">
        <f t="shared" si="5"/>
        <v>482</v>
      </c>
      <c r="P31" s="53">
        <f t="shared" si="5"/>
        <v>0</v>
      </c>
      <c r="Q31" s="38">
        <f t="shared" si="5"/>
        <v>345</v>
      </c>
      <c r="R31" s="16">
        <f t="shared" si="5"/>
        <v>118</v>
      </c>
      <c r="S31" s="16">
        <f t="shared" si="5"/>
        <v>124</v>
      </c>
      <c r="T31" s="16">
        <v>234</v>
      </c>
      <c r="U31" s="16">
        <v>234</v>
      </c>
      <c r="V31" s="53"/>
      <c r="W31" s="38">
        <f>W28+W30+W29</f>
        <v>215</v>
      </c>
      <c r="X31" s="16">
        <f>X28+X30+X29</f>
        <v>249</v>
      </c>
      <c r="Y31" s="16">
        <f>Y28+Y30+Y29</f>
        <v>429</v>
      </c>
      <c r="Z31" s="16">
        <f>Z28+Z30+Z29</f>
        <v>627</v>
      </c>
      <c r="AA31" s="16">
        <f>AA28+AA30+AA29</f>
        <v>627</v>
      </c>
      <c r="AC31" s="38">
        <f>AC28+AC30+AC29</f>
        <v>327</v>
      </c>
      <c r="AD31" s="148">
        <f>AD28+AD30+AD29</f>
        <v>726</v>
      </c>
      <c r="AE31" s="148">
        <v>337</v>
      </c>
      <c r="AF31" s="148">
        <v>516</v>
      </c>
      <c r="AG31" s="148">
        <v>516</v>
      </c>
      <c r="AH31" s="175"/>
      <c r="AI31" s="148">
        <v>1899</v>
      </c>
      <c r="AJ31" s="148">
        <v>1707</v>
      </c>
      <c r="AK31" s="148">
        <f>+AK28+AK29+AK30</f>
        <v>781</v>
      </c>
      <c r="AL31" s="16">
        <v>2135</v>
      </c>
      <c r="AM31" s="16">
        <f>AM28+AM29+AM30</f>
        <v>2135</v>
      </c>
      <c r="AN31" s="53"/>
      <c r="AO31" s="282">
        <v>1155</v>
      </c>
      <c r="AP31" s="282">
        <v>711</v>
      </c>
      <c r="AQ31" s="282">
        <v>393</v>
      </c>
      <c r="AR31" s="372">
        <v>1332</v>
      </c>
      <c r="AS31" s="372">
        <v>1332</v>
      </c>
      <c r="AT31" s="382">
        <v>2654</v>
      </c>
      <c r="AU31" s="382">
        <v>2029</v>
      </c>
      <c r="AV31" s="424">
        <v>1703</v>
      </c>
      <c r="AW31" s="424">
        <v>985</v>
      </c>
      <c r="AX31" s="424">
        <v>985</v>
      </c>
      <c r="AY31" s="424">
        <v>1271</v>
      </c>
      <c r="AZ31" s="424">
        <v>1575</v>
      </c>
      <c r="BA31" s="427">
        <v>1081</v>
      </c>
    </row>
    <row r="32" spans="3:53" ht="12" customHeight="1">
      <c r="C32" s="61"/>
      <c r="D32" s="61"/>
      <c r="E32" s="61"/>
      <c r="F32" s="61"/>
      <c r="G32" s="61"/>
      <c r="H32" s="61"/>
      <c r="I32" s="61"/>
      <c r="K32" s="61"/>
      <c r="L32" s="61"/>
      <c r="M32" s="61"/>
      <c r="N32" s="61"/>
      <c r="O32" s="61"/>
      <c r="Q32" s="61"/>
      <c r="R32" s="61"/>
      <c r="S32" s="61"/>
      <c r="T32" s="61"/>
      <c r="U32" s="61"/>
      <c r="BA32"/>
    </row>
    <row r="33" spans="3:53" ht="12" customHeight="1">
      <c r="C33" s="62"/>
      <c r="D33" s="63"/>
      <c r="E33" s="63"/>
      <c r="F33" s="63"/>
      <c r="G33" s="63"/>
      <c r="H33" s="63"/>
      <c r="I33" s="62"/>
      <c r="K33" s="63"/>
      <c r="L33" s="63"/>
      <c r="M33" s="63"/>
      <c r="N33" s="63"/>
      <c r="O33" s="62"/>
      <c r="Q33" s="63"/>
      <c r="R33" s="63"/>
      <c r="S33" s="63"/>
      <c r="T33" s="63"/>
      <c r="U33" s="63"/>
      <c r="Z33" s="145"/>
      <c r="AA33" s="145"/>
      <c r="AB33" s="145"/>
      <c r="AC33" s="145"/>
      <c r="AD33" s="145"/>
      <c r="AE33" s="145"/>
      <c r="AF33" s="145"/>
      <c r="AG33" s="145"/>
      <c r="AH33" s="145"/>
      <c r="AI33" s="145"/>
      <c r="AJ33" s="145"/>
      <c r="AV33" s="145"/>
      <c r="AW33" s="145"/>
      <c r="AX33" s="145"/>
      <c r="AY33" s="145"/>
      <c r="AZ33" s="145"/>
      <c r="BA33" s="145"/>
    </row>
    <row r="34" spans="3:36" ht="12" customHeight="1">
      <c r="C34" s="61"/>
      <c r="D34" s="61"/>
      <c r="E34" s="61"/>
      <c r="F34" s="61"/>
      <c r="G34" s="61"/>
      <c r="H34" s="61"/>
      <c r="I34" s="61"/>
      <c r="K34" s="61"/>
      <c r="L34" s="61"/>
      <c r="M34" s="61"/>
      <c r="N34" s="61"/>
      <c r="O34" s="61"/>
      <c r="Q34" s="61"/>
      <c r="R34" s="61"/>
      <c r="S34" s="61"/>
      <c r="T34" s="61"/>
      <c r="U34" s="61"/>
      <c r="AE34" s="157"/>
      <c r="AF34" s="157"/>
      <c r="AG34" s="157"/>
      <c r="AH34" s="157"/>
      <c r="AI34" s="157"/>
      <c r="AJ34" s="157"/>
    </row>
    <row r="35" spans="3:21" ht="12" customHeight="1">
      <c r="C35" s="61"/>
      <c r="D35" s="64"/>
      <c r="E35" s="64"/>
      <c r="F35" s="64"/>
      <c r="G35" s="64"/>
      <c r="H35" s="64"/>
      <c r="I35" s="61"/>
      <c r="K35" s="64"/>
      <c r="L35" s="64"/>
      <c r="M35" s="64"/>
      <c r="N35" s="64"/>
      <c r="O35" s="61"/>
      <c r="Q35" s="64"/>
      <c r="R35" s="64"/>
      <c r="S35" s="64"/>
      <c r="T35" s="64"/>
      <c r="U35" s="6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Zych Katarzyna</dc:creator>
  <cp:keywords/>
  <dc:description/>
  <cp:lastModifiedBy>KGHM Polska Miedź S.A.</cp:lastModifiedBy>
  <cp:lastPrinted>2023-11-09T11:47:34Z</cp:lastPrinted>
  <dcterms:created xsi:type="dcterms:W3CDTF">2005-09-12T06:47:42Z</dcterms:created>
  <dcterms:modified xsi:type="dcterms:W3CDTF">2023-11-15T11:21:29Z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KGHM_dane_finansowe_Grupa_Kapitalowa_i_Spolka_3Q2022.XLS</vt:lpwstr>
  </property>
</Properties>
</file>