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21840" windowHeight="6348" firstSheet="2" activeTab="2"/>
  </bookViews>
  <sheets>
    <sheet name="BExRepositorySheet" sheetId="1" state="veryHidden" r:id="rId1"/>
    <sheet name="SNVeryHiddenParameterSheet" sheetId="2" state="veryHidden" r:id="rId2"/>
    <sheet name="RZIS - Grupa" sheetId="3" r:id="rId3"/>
    <sheet name="CF - Grupa" sheetId="4" r:id="rId4"/>
    <sheet name="BILANS - Grupa" sheetId="5" r:id="rId5"/>
    <sheet name="RZiS - Spółka" sheetId="6" r:id="rId6"/>
    <sheet name="CF - Spółka" sheetId="7" r:id="rId7"/>
    <sheet name="BILANS - Spółka" sheetId="8" r:id="rId8"/>
    <sheet name="Wolumen produkcji" sheetId="9" r:id="rId9"/>
    <sheet name="Wolumen sprzedaży" sheetId="10" r:id="rId10"/>
  </sheets>
  <definedNames>
    <definedName name="ausgabe_RZIS" localSheetId="2">'RZIS - Grupa'!$A$10:$H$38</definedName>
    <definedName name="ausgabe_RZIS">#REF!</definedName>
    <definedName name="jahr" localSheetId="2">'RZIS - Grupa'!#REF!</definedName>
    <definedName name="jahr">#REF!</definedName>
    <definedName name="name_1" localSheetId="2">'RZIS - Grupa'!#REF!</definedName>
    <definedName name="name_1">#REF!</definedName>
    <definedName name="_xlnm.Print_Area" localSheetId="2">'RZIS - Grupa'!$B$1:$Z$71</definedName>
    <definedName name="prog_1_POKRESBIEZACY04" localSheetId="2">'RZIS - Grupa'!#REF!</definedName>
    <definedName name="prog_1_POKRESBIEZACY04">#REF!</definedName>
    <definedName name="prog_1_POKRESPOPRZEDNI05" localSheetId="2">'RZIS - Grupa'!#REF!</definedName>
    <definedName name="prog_1_POKRESPOPRZEDNI05">#REF!</definedName>
    <definedName name="prog_2_POKRESBIEZACY04" localSheetId="2">'RZIS - Grupa'!#REF!</definedName>
    <definedName name="prog_2_POKRESBIEZACY04">#REF!</definedName>
    <definedName name="prog_2_POKRESPOPRZEDNI05" localSheetId="2">'RZIS - Grupa'!#REF!</definedName>
    <definedName name="prog_2_POKRESPOPRZEDNI05">#REF!</definedName>
    <definedName name="prog_3_POKRESBIEZACY04" localSheetId="2">'RZIS - Grupa'!#REF!</definedName>
    <definedName name="prog_3_POKRESBIEZACY04">#REF!</definedName>
    <definedName name="prog_3_POKRESPOPRZEDNI05" localSheetId="2">'RZIS - Grupa'!#REF!</definedName>
    <definedName name="prog_3_POKRESPOPRZEDNI05">#REF!</definedName>
    <definedName name="spalte_wert_1" localSheetId="2">'RZIS - Grupa'!#REF!</definedName>
    <definedName name="spalte_wert_1">#REF!</definedName>
    <definedName name="spalte_wert_2" localSheetId="2">'RZIS - Grupa'!#REF!</definedName>
    <definedName name="spalte_wert_2">#REF!</definedName>
    <definedName name="spalte_wert_3" localSheetId="2">'RZIS - Grupa'!#REF!</definedName>
    <definedName name="spalte_wert_3">#REF!</definedName>
    <definedName name="stichtag" localSheetId="2">'RZIS - Grupa'!#REF!</definedName>
    <definedName name="stichtag">#REF!</definedName>
    <definedName name="value_1_POKRESBIEZACY04" localSheetId="2">'RZIS - Grupa'!#REF!</definedName>
    <definedName name="value_1_POKRESBIEZACY04">#REF!</definedName>
    <definedName name="value_1_POKRESPOPRZEDNI05" localSheetId="2">'RZIS - Grupa'!$H:$H</definedName>
    <definedName name="value_1_POKRESPOPRZEDNI05">#REF!</definedName>
    <definedName name="value_2_POKRESBIEZACY04" localSheetId="2">'RZIS - Grupa'!#REF!</definedName>
    <definedName name="value_2_POKRESBIEZACY04">#REF!</definedName>
    <definedName name="value_2_POKRESPOPRZEDNI05" localSheetId="2">'RZIS - Grupa'!#REF!</definedName>
    <definedName name="value_2_POKRESPOPRZEDNI05">#REF!</definedName>
    <definedName name="value_3_POKRESBIEZACY04" localSheetId="2">'RZIS - Grupa'!#REF!</definedName>
    <definedName name="value_3_POKRESBIEZACY04">#REF!</definedName>
    <definedName name="value_3_POKRESPOPRZEDNI05" localSheetId="2">'RZIS - Grupa'!#REF!</definedName>
    <definedName name="value_3_POKRESPOPRZEDNI05">#REF!</definedName>
    <definedName name="vorjahr" localSheetId="2">'RZIS - Grupa'!#REF!</definedName>
    <definedName name="vorjahr">#REF!</definedName>
  </definedNames>
  <calcPr fullCalcOnLoad="1"/>
</workbook>
</file>

<file path=xl/sharedStrings.xml><?xml version="1.0" encoding="utf-8"?>
<sst xmlns="http://schemas.openxmlformats.org/spreadsheetml/2006/main" count="492" uniqueCount="234">
  <si>
    <t>Wynik z zaangażowania we wspólne przedsięwzięcia</t>
  </si>
  <si>
    <t>Koszty sprzedanych produktów, towarów i materiałów</t>
  </si>
  <si>
    <t xml:space="preserve">Podatek dochodowy </t>
  </si>
  <si>
    <t>Odpis z tytułu utraty wartości udziałów we wspólnym przedsięwzięciu</t>
  </si>
  <si>
    <t>Odpis z tytułu utraty wartości pożyczek udzielonych wspólnym przedsięwzięciom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</si>
  <si>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</si>
  <si>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</si>
  <si>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</si>
  <si>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</si>
  <si>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</si>
  <si>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</si>
  <si>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</si>
  <si>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</si>
  <si>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</si>
  <si>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</si>
  <si>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</si>
  <si>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</si>
  <si>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Koszty sprzedaży</t>
  </si>
  <si>
    <t>Koszty ogólnego zarządu</t>
  </si>
  <si>
    <t>KOSZTY WEDŁUG RODZAJU GRUPY KAPITAŁOWEJ</t>
  </si>
  <si>
    <t>Amortyzacja środków trwałych i wartości niematerialnych</t>
  </si>
  <si>
    <t xml:space="preserve">Koszty świadczeń pracowniczych   </t>
  </si>
  <si>
    <t>Zużycie materiałów i energii</t>
  </si>
  <si>
    <t>Usługi obce</t>
  </si>
  <si>
    <t>Pozostałe podatki i opłaty</t>
  </si>
  <si>
    <t>Pozostałe koszty</t>
  </si>
  <si>
    <t>Razem koszty rodzajowe</t>
  </si>
  <si>
    <t>Wartość sprzedanych towarów i materiałów (+)</t>
  </si>
  <si>
    <t>Zmiana stanu produktów, produkcji w toku  (+/-)</t>
  </si>
  <si>
    <t>Odpisy z tytułu utraty wartości aktywów</t>
  </si>
  <si>
    <t>Wycena i realizacja instrumentów pochodnych</t>
  </si>
  <si>
    <t>Pozostałe</t>
  </si>
  <si>
    <t>Wycena instrumentów pochodnych</t>
  </si>
  <si>
    <t>Odsetki od zadłużenia</t>
  </si>
  <si>
    <t xml:space="preserve">     KGHM Polska Miedź S.A.</t>
  </si>
  <si>
    <t xml:space="preserve">     KGHM INTERNATIONAL LTD.</t>
  </si>
  <si>
    <t xml:space="preserve">     Sierra Gorda S.C.M.</t>
  </si>
  <si>
    <t>Koszt produkcji miedzi w koncentracie - C1 (USD/funt)</t>
  </si>
  <si>
    <t>-</t>
  </si>
  <si>
    <t>EBITDA  (EBIT + amortyzacja)</t>
  </si>
  <si>
    <t>SPRAWOZDANIE Z WYNIKU</t>
  </si>
  <si>
    <r>
      <t xml:space="preserve">Skorygowana EBITDA
</t>
    </r>
    <r>
      <rPr>
        <sz val="7"/>
        <rFont val="Open Sans"/>
        <family val="2"/>
      </rPr>
      <t>(EBITDA + odpisy / odwrócenie odpisów z tytułu utraty wartości 
ujęte w kosztach podstawowej działalności operacyjnej), w tym:</t>
    </r>
  </si>
  <si>
    <t>Zyski / (straty) z tytułu różnic kursowych z wyceny zobowiązań z tytułu zadłużenia</t>
  </si>
  <si>
    <t>Przychody i (koszty) finansowe</t>
  </si>
  <si>
    <t>Zysk / (strata) z wyceny wspólnych przedsięwzięć metodą praw własności</t>
  </si>
  <si>
    <t>Odsetki od udzielonych pożyczek dla wspólnych przedsięwzięć</t>
  </si>
  <si>
    <t>Pozostałe przychody i (koszty) operacyjne</t>
  </si>
  <si>
    <t>Zyski / (straty) z tytułu różnic kursowych z wyceny aktywów 
i zobowiązań innych niż zadłużenie</t>
  </si>
  <si>
    <t xml:space="preserve"> Zysk / (Strata) przed opodatkowaniem</t>
  </si>
  <si>
    <t xml:space="preserve"> ZYSK / (STRATA) NETTO</t>
  </si>
  <si>
    <t>Koszty wytworzenia produktów na własne potrzeby Grupy Kapitałowej (-) 
(głównie koszty usuwania nadkładu w kopalniach odkrywkowych)</t>
  </si>
  <si>
    <t>Podatek od wydobycia niektórych kopalin</t>
  </si>
  <si>
    <t xml:space="preserve">Amortyzacja ujęta w zysku / (stracie ) netto </t>
  </si>
  <si>
    <t>Notowania miedzi (USD/t)</t>
  </si>
  <si>
    <t>Notowania srebra (USD/troz)</t>
  </si>
  <si>
    <t>Kurs walutowy USD/PLN (średni w okresie)</t>
  </si>
  <si>
    <t>Kurs walutowy USD/PLN (na koniec okresu)</t>
  </si>
  <si>
    <t>PODSTAWOWE PARAMETRY MAKROEKONOMICZNE</t>
  </si>
  <si>
    <t>Zysk / (Strata) brutto ze sprzedaży</t>
  </si>
  <si>
    <t>Zysk / (Strata) netto ze sprzedaży (EBIT), w tym:</t>
  </si>
  <si>
    <t>DANE FINANSOWE - PRZYCHODY I KOSZTY GRUPY KAPITAŁOWEJ KGHM Polska Miedź S.A. ( w mln PLN )</t>
  </si>
  <si>
    <t>*Na potrzeby kalkulacji marży EBITDA Grupy Kapitałowej skonsolidowane przychody ze sprzedaży powiększone są o przychody ze sprzedaży segmentu Sierra Gorda S.C.M.</t>
  </si>
  <si>
    <r>
      <t xml:space="preserve">Marża EBITDA*
</t>
    </r>
    <r>
      <rPr>
        <sz val="7"/>
        <rFont val="Open Sans"/>
        <family val="2"/>
      </rPr>
      <t>(Stosunek skorygowanej EBITDA do przychodów ze sprzedaży)</t>
    </r>
  </si>
  <si>
    <t>1Q17</t>
  </si>
  <si>
    <t>2Q17</t>
  </si>
  <si>
    <t>DANE FINANSOWE -  SPRAWOZDANIE Z PRZEPŁYWÓW PIENIĘŻNYCH GRUPY KAPITAŁOWEJ KGHM Polska Miedź S.A. (w mln PLN)</t>
  </si>
  <si>
    <t>2015</t>
  </si>
  <si>
    <t>2016</t>
  </si>
  <si>
    <t>3Q17</t>
  </si>
  <si>
    <t>4Q17</t>
  </si>
  <si>
    <t>Zysk / (Strata) przed opodatkowaniem</t>
  </si>
  <si>
    <t>Amortyzacja ujęta w wyniku finansowym</t>
  </si>
  <si>
    <t>Strata z wyceny wspólnych przedsięwzięć metodą praw własności</t>
  </si>
  <si>
    <t>Odsetki od pożyczek udzielonych wspólnym przedsięwzięciom</t>
  </si>
  <si>
    <t>Odsetki i pozostałe koszty zadłużenia</t>
  </si>
  <si>
    <t>Pozostałe odpisy/odwrócenie odpisu z tytułu utraty wartości aktywów trwałych</t>
  </si>
  <si>
    <t>Pozostałe korekty zysku przed opodatkowaniem</t>
  </si>
  <si>
    <t>Razem wyłączenia przychodów i kosztów</t>
  </si>
  <si>
    <t>Podatek dochodowy zapłacony</t>
  </si>
  <si>
    <t>Zmiana stanu kapitału obrotowego</t>
  </si>
  <si>
    <t>Przepływy pieniężne netto z działalności operacyjnej</t>
  </si>
  <si>
    <t>Wydatki związane z aktywami górniczymi i hutniczymi</t>
  </si>
  <si>
    <t>Wydatki na pozostałe rzeczowe i niematerialne aktywa trwałe</t>
  </si>
  <si>
    <t>Płatności z tytułu udzielonych pożyczek wspólnym przedsięwzięciom</t>
  </si>
  <si>
    <t>Objęcie udziałów we wspólnych przedsięwzięciach</t>
  </si>
  <si>
    <t>Pozostałe wpływy / (wydatki)</t>
  </si>
  <si>
    <t>Przepływy pieniężne netto z działalności inwestycyjnej</t>
  </si>
  <si>
    <t xml:space="preserve">Wpływy z tytułu zaciągniętego zadłużenia </t>
  </si>
  <si>
    <t>Płatności z tytułu zadłużenia</t>
  </si>
  <si>
    <t>Dywidendy wypłacone akcjonariuszom Jednostki Dominującej</t>
  </si>
  <si>
    <t>Zapłacone odsetki i pozostałe koszty zadłużenia</t>
  </si>
  <si>
    <t>Pozostałe (wydatki)  / wpływy</t>
  </si>
  <si>
    <t>Przepływy pieniężne netto z działalności finansowej</t>
  </si>
  <si>
    <t>PRZEPŁYWY PIENIĘŻNE NETTO</t>
  </si>
  <si>
    <t>Stan środków pieniężnych i ich ekwiwalentów na początek okresu</t>
  </si>
  <si>
    <t>Różnice kursowe dotyczące środków pieniężnych i ich ekwiwalentów</t>
  </si>
  <si>
    <t>Stan środków pieniężnych i ich ekwiwalentów na koniec okresu</t>
  </si>
  <si>
    <t>WYDATKI NA RZECZOWE AKTYWA TRWAŁE I WARTOŚCI NIEMATERIALNE GŁÓWNYCH SEGMENTÓW:</t>
  </si>
  <si>
    <t>KGHM Polska Miedź S.A.</t>
  </si>
  <si>
    <t>KGHM INTERNATIONAL LTD.</t>
  </si>
  <si>
    <t>Sierra Gorda S.C.M. (55%)</t>
  </si>
  <si>
    <t>DANE FINANSOWE - SPRAWOZDANIE Z SYTUACJI FINANSOWEJ GRUPY KAPITAŁOWEJ KGHM Polska Miedź S.A. ( w mln PLN )</t>
  </si>
  <si>
    <t>AKTYWA</t>
  </si>
  <si>
    <t>Rzeczowe aktywa trwałe górnicze i hutnicze</t>
  </si>
  <si>
    <t>Aktywa niematerialne górnicze i hutnicze</t>
  </si>
  <si>
    <t>Rzeczowe i niematerialne aktywa górnicze i hutnicze</t>
  </si>
  <si>
    <t xml:space="preserve">Pozostałe rzeczowe aktywa trwałe </t>
  </si>
  <si>
    <t>Pozostałe aktywa niematerialne</t>
  </si>
  <si>
    <t>Pozostałe aktywa rzeczowe i niematerialne</t>
  </si>
  <si>
    <t>Wspólne przedsięwzięcia wyceniane metodą praw własności</t>
  </si>
  <si>
    <t xml:space="preserve">Pożyczki udzielone wspólnym przedsięwzięciom </t>
  </si>
  <si>
    <t xml:space="preserve">Łączne zaangażowanie we wspólne przedsięwzięcia </t>
  </si>
  <si>
    <t xml:space="preserve">Pochodne instrumenty finansowe </t>
  </si>
  <si>
    <t>Pozostałe aktywa finansowe</t>
  </si>
  <si>
    <t>Instrumenty finansowe razem</t>
  </si>
  <si>
    <t>Aktywa z tytułu odroczonego podatku dochodowego</t>
  </si>
  <si>
    <t xml:space="preserve">Pozostałe aktywa niefinansowe </t>
  </si>
  <si>
    <t>Aktywa trwałe</t>
  </si>
  <si>
    <t>Zapasy</t>
  </si>
  <si>
    <t>Należności od odbiorców</t>
  </si>
  <si>
    <t>Należności z tytułu podatków</t>
  </si>
  <si>
    <t>Pozostałe aktywa</t>
  </si>
  <si>
    <t>Środki pieniężne i ich ekwiwalenty</t>
  </si>
  <si>
    <t>Aktywa obrotowe</t>
  </si>
  <si>
    <t>Razem aktywa</t>
  </si>
  <si>
    <t>ZOBOWIĄZANIA I KAPITAŁ WŁASNY</t>
  </si>
  <si>
    <t>Kapitał akcyjny</t>
  </si>
  <si>
    <t>Kapitał z tytułu wyceny instrumentów finansowych</t>
  </si>
  <si>
    <t>Zakumulowane pozostałe całkowite dochody</t>
  </si>
  <si>
    <t>Zyski zatrzymane</t>
  </si>
  <si>
    <t>Kapitał własny akcjonariuszy Jednostki Dominującej</t>
  </si>
  <si>
    <t>Kapitał udziałowców niekontrolujących</t>
  </si>
  <si>
    <t xml:space="preserve">Kapitał własny </t>
  </si>
  <si>
    <t>Zobowiązania z tytułu zadłużenia</t>
  </si>
  <si>
    <t>Pochodne instrumenty finansowe</t>
  </si>
  <si>
    <t>Zobowiązania z tytułu świadczeń pracowniczych</t>
  </si>
  <si>
    <t>Rezerwy na koszty likwidacji kopalń i innych obiektów</t>
  </si>
  <si>
    <t>Zobowiązania z tytułu odroczonego podatku dochodowego</t>
  </si>
  <si>
    <t>Pozostałe zobowiązania</t>
  </si>
  <si>
    <t>Zobowiązania długoterminowe</t>
  </si>
  <si>
    <t>Zobowiązania wobec dostawców</t>
  </si>
  <si>
    <t>Zobowiązania krótkoterminowe</t>
  </si>
  <si>
    <t>Zobowiązanie długo i krótkoterminowe</t>
  </si>
  <si>
    <t>Razem zobowiązania i kapitał własny</t>
  </si>
  <si>
    <t>Zobowiązania z tytułu podatków</t>
  </si>
  <si>
    <t xml:space="preserve">Inne instrumenty finansowe wyceniane w wartości godziwej </t>
  </si>
  <si>
    <r>
      <t xml:space="preserve">Koszty podstawowej działalności operacyjnej 
</t>
    </r>
    <r>
      <rPr>
        <sz val="7"/>
        <color indexed="21"/>
        <rFont val="Open Sans"/>
        <family val="2"/>
      </rPr>
      <t>(koszty sprzedanych produktów, towarów i materiałów, sprzedaży i ogólnego zarządu)</t>
    </r>
  </si>
  <si>
    <t>DANE FINANSOWE - SPRAWOZDANIE Z SYTUACJI FINANSOWEJ KGHM Polska Miedź S.A. ( w mln PLN )</t>
  </si>
  <si>
    <t>Pozostałe rzeczowe i niematerialne aktywa</t>
  </si>
  <si>
    <t>Inwestycje w jednostki zależne i wspólne przedsięwzięcia</t>
  </si>
  <si>
    <t>Pożyczki udzielone</t>
  </si>
  <si>
    <t>Inne instrumenty finansowe wyceniane w wartości godziwej</t>
  </si>
  <si>
    <t>Pozostałe aktywa niefinansowe</t>
  </si>
  <si>
    <t>Kapitał własny</t>
  </si>
  <si>
    <t>Zobowiązania z tytułu kredytów i pożyczek</t>
  </si>
  <si>
    <t>Rezerwy na koszty likwidacji kopalń i innych obiektów
technologicznych</t>
  </si>
  <si>
    <t>Zobowiązania z tytułu cash pool</t>
  </si>
  <si>
    <t>Zobowiązania długo i krótkoterminowe</t>
  </si>
  <si>
    <t>DANE FINANSOWE - PRZYCHODY I KOSZTY KGHM Polska Miedź S.A. ( w mln PLN )</t>
  </si>
  <si>
    <t>Miedź</t>
  </si>
  <si>
    <t>Srebro</t>
  </si>
  <si>
    <t xml:space="preserve">Koszty sprzedaży </t>
  </si>
  <si>
    <t>Zysk / (Strata) netto ze sprzedaży (EBIT)</t>
  </si>
  <si>
    <t>Odpisy z tytułu utraty wartości</t>
  </si>
  <si>
    <t xml:space="preserve"> Zyski / (straty) z tytułu różnic kursowych od wyceny aktywów
 i zobowiązań innych niż zadłużenie</t>
  </si>
  <si>
    <t>Odsetki od udzielonych pożyczek</t>
  </si>
  <si>
    <t>Pozostałe przychody / (koszty)</t>
  </si>
  <si>
    <t>Zyski/(straty) z tytułu różnic kursowych od kredytów i pożyczek</t>
  </si>
  <si>
    <t>Opłaty i prowizje bankowe od kredytów i pożyczek</t>
  </si>
  <si>
    <t>Pozostałe przychody / (koszty) finansowe</t>
  </si>
  <si>
    <t>ZYSK / (STRATA) NETTO</t>
  </si>
  <si>
    <t xml:space="preserve">Amortyzacja ujęta w zysku / (stracie) netto </t>
  </si>
  <si>
    <r>
      <t xml:space="preserve">EBITDA  </t>
    </r>
    <r>
      <rPr>
        <sz val="7"/>
        <rFont val="Open Sans"/>
        <family val="2"/>
      </rPr>
      <t>(EBIT + amortyzacja)</t>
    </r>
  </si>
  <si>
    <r>
      <rPr>
        <b/>
        <sz val="7"/>
        <rFont val="Open Sans"/>
        <family val="2"/>
      </rPr>
      <t xml:space="preserve">Skorygowana  EBITDA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7"/>
        <rFont val="Open Sans"/>
        <family val="2"/>
      </rPr>
      <t xml:space="preserve"> (EBITDA + odpisy / odwrócenie odpisów z tytułu utraty wartości
ujęte w kosztach podstawowej działalności operacyjnej)</t>
    </r>
  </si>
  <si>
    <t xml:space="preserve"> Koszty wg rodzaju</t>
  </si>
  <si>
    <t>Zużycie materiałów i energii w tym:</t>
  </si>
  <si>
    <t>Wsady obce</t>
  </si>
  <si>
    <t>Energia i czynniki energetyczne</t>
  </si>
  <si>
    <t>Usługi obce w tym:</t>
  </si>
  <si>
    <t>Koszty transportu</t>
  </si>
  <si>
    <t>Remonty, konserwacje i serwisy</t>
  </si>
  <si>
    <t>Górnicze roboty przygotowawcze</t>
  </si>
  <si>
    <t xml:space="preserve">Koszty wytworzenia produktów na własne potrzeby (-) </t>
  </si>
  <si>
    <r>
      <t xml:space="preserve">Koszty podstawowej działalności operacyjnej
</t>
    </r>
    <r>
      <rPr>
        <sz val="7"/>
        <color indexed="21"/>
        <rFont val="Open Sans"/>
        <family val="2"/>
      </rPr>
      <t>(koszty sprzedanych produktów, towarów i materiałów, sprzedaży
i ogólnego zarządu)</t>
    </r>
  </si>
  <si>
    <t>DANE FINANSOWE - SPRAWOZDANIE Z PRZEPŁYWÓW PIENIĘŻNYCH KGHM Polska Miedź S.A. ( w mln PLN )</t>
  </si>
  <si>
    <t>Odpisy / odwrócenie odpisu z tytułu utraty wartości aktywów trwałych</t>
  </si>
  <si>
    <t xml:space="preserve">Płatności z tytułu udzielonych pożyczek </t>
  </si>
  <si>
    <t xml:space="preserve">Dywidendy wypłacone </t>
  </si>
  <si>
    <t>WOLUMEN SPRZEDAŻY PODSTAWOWYCH PRODUKTÓW GRUPY</t>
  </si>
  <si>
    <t>IQ'16</t>
  </si>
  <si>
    <t>IIQ'16</t>
  </si>
  <si>
    <t>IIIQ'16</t>
  </si>
  <si>
    <t>IVQ'16</t>
  </si>
  <si>
    <t>Zmiana (2016 do 2015)</t>
  </si>
  <si>
    <t>IQ'17</t>
  </si>
  <si>
    <t>IIQ'17</t>
  </si>
  <si>
    <t>IIIQ'17</t>
  </si>
  <si>
    <t>Katody i części katod (tys. t)</t>
  </si>
  <si>
    <t>Walcówka miedziana oraz drut OFE (tys. t)</t>
  </si>
  <si>
    <t>Pozostałe wyroby z miedzi (tys. t)</t>
  </si>
  <si>
    <t>119,6</t>
  </si>
  <si>
    <t>Srebro metaliczne (t)</t>
  </si>
  <si>
    <t>Złoto metaliczne (kg)</t>
  </si>
  <si>
    <t>Ołów rafinowany (tys. t)</t>
  </si>
  <si>
    <t>Grupa Kapitałowa KGHM INTERNATIONAL LTD.</t>
  </si>
  <si>
    <t>Miedź* (tys. t)</t>
  </si>
  <si>
    <t>Nikiel (tys. t)</t>
  </si>
  <si>
    <t>Metale szlachetne** (tys. troz)</t>
  </si>
  <si>
    <t>* miedź w postaci katod miedzianych, miedź płatna w koncentracie, miedź płatna w rudzie</t>
  </si>
  <si>
    <t>** złoto, platyna, pallad</t>
  </si>
  <si>
    <t>WOLUMEN PRODUKCJI PODSTAWOWYCH PRODUKTÓW GRUPY</t>
  </si>
  <si>
    <t>Miedź elektrolityczna (tys. t)</t>
  </si>
  <si>
    <t>Walcówka, drut OFE i CuAg (tys. t)</t>
  </si>
  <si>
    <t>Wlewki okrągłe (tys. t)</t>
  </si>
  <si>
    <t>Złoto metaliczne (tys. troz)</t>
  </si>
  <si>
    <t>Sierra Gorda S.C.M. – segment (55%)</t>
  </si>
  <si>
    <t>Molibden (mln funtów)</t>
  </si>
  <si>
    <t>Metale szlachetne*** (tys. troz)</t>
  </si>
  <si>
    <t>*** złoto</t>
  </si>
  <si>
    <t>(Odwrócenie)/odpisy z tytułu utraty wartości rzeczowych aktywów trwałych i wartości niematerialnych</t>
  </si>
  <si>
    <t>IVQ'17</t>
  </si>
  <si>
    <t>Zmiana (2017 do 2016)</t>
  </si>
  <si>
    <t>Ogółem miedź i wyroby z miedzi (tys. t)***</t>
  </si>
  <si>
    <t>***nie zawiera sprzedaży miedzi płatnej w koncentracie</t>
  </si>
  <si>
    <t>1Q18</t>
  </si>
  <si>
    <t>ND</t>
  </si>
  <si>
    <t>Odsetki od udzielonych pożyczek i pozostałych należności finansowych</t>
  </si>
  <si>
    <t>Zyski z tytułu zmiany wartości godziwej aktywów</t>
  </si>
  <si>
    <t>Przychody z umów z klientami, w tym:</t>
  </si>
  <si>
    <t>(Straty) / odwrócenie strat z tytułu utraty wartości instrumentów finansowych i (straty) z tytułu utraty wartości aktywów zakupionych lub powstałych dotkniętych utratą wartości na moment początkowego ujęcia (POCI)*</t>
  </si>
  <si>
    <t>Zyski ze zmiany wartości godziwej aktywów finansowych wycenianych w wartości godziwej przez wynik finanowy*</t>
  </si>
  <si>
    <t>*ND - nie dotyczy - pozycje, dla których nie wystąpiła wycena według zasad wynikających z zastosowania od 1 stycznia 2018 r. MSSF 9</t>
  </si>
  <si>
    <t>IQ'18</t>
  </si>
  <si>
    <t>Zmiana (IQ'18 do IQ'17)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</si>
</sst>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(#,##0\)"/>
    <numFmt numFmtId="165" formatCode="#,###"/>
    <numFmt numFmtId="166" formatCode="#,##0.00\ &quot;zł&quot;"/>
    <numFmt numFmtId="167" formatCode="_-* #,##0.00\ _D_M_-;\-* #,##0.00\ _D_M_-;_-* &quot;-&quot;??\ _D_M_-;_-@_-"/>
    <numFmt numFmtId="168" formatCode="_-* #,##0\ _D_M_-;\-* #,##0\ _D_M_-;_-* &quot;-&quot;\ _D_M_-;_-@_-"/>
    <numFmt numFmtId="169" formatCode="_-* #,##0.00\ &quot;DM&quot;_-;\-* #,##0.00\ &quot;DM&quot;_-;_-* &quot;-&quot;??\ &quot;DM&quot;_-;_-@_-"/>
    <numFmt numFmtId="170" formatCode="_-* #,##0\ &quot;DM&quot;_-;\-* #,##0\ &quot;DM&quot;_-;_-* &quot;-&quot;\ &quot;DM&quot;_-;_-@_-"/>
    <numFmt numFmtId="171" formatCode="#,##0.000"/>
    <numFmt numFmtId="172" formatCode="#,##0.0000"/>
    <numFmt numFmtId="173" formatCode="#,##0.0"/>
    <numFmt numFmtId="174" formatCode="#,##0;\(#,##0\);\-"/>
    <numFmt numFmtId="175" formatCode="#,##0.00;\(#,##0.00\)"/>
    <numFmt numFmtId="176" formatCode="#\ ##0;\(#\ ##0\);\-"/>
    <numFmt numFmtId="177" formatCode="[$-415]d\ mmmm\ yyyy"/>
    <numFmt numFmtId="178" formatCode="00\-000"/>
    <numFmt numFmtId="179" formatCode="#\ ##0.00;\(#\ ##0.00\);\-"/>
    <numFmt numFmtId="180" formatCode="#\ ##0.00;\(###0.00\);\-"/>
    <numFmt numFmtId="181" formatCode="#\ ##0;\(###0\);\-"/>
    <numFmt numFmtId="182" formatCode="#.0\ ##0;\(#.0\ ##0\);\-"/>
    <numFmt numFmtId="183" formatCode="#.00\ ##0;\(#.00\ ##0\);\-"/>
    <numFmt numFmtId="184" formatCode="#,##0;\ \(#,##0\);\-"/>
    <numFmt numFmtId="185" formatCode="0.0"/>
    <numFmt numFmtId="186" formatCode="0.0%"/>
    <numFmt numFmtId="187" formatCode="&quot;Tak&quot;;&quot;Tak&quot;;&quot;Nie&quot;"/>
    <numFmt numFmtId="188" formatCode="&quot;Prawda&quot;;&quot;Prawda&quot;;&quot;Fałsz&quot;"/>
    <numFmt numFmtId="189" formatCode="&quot;Włączone&quot;;&quot;Włączone&quot;;&quot;Wyłączone&quot;"/>
    <numFmt numFmtId="190" formatCode="[$€-2]\ #,##0.00_);[Red]\([$€-2]\ #,##0.00\)"/>
  </numFmts>
  <fonts count="77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3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3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7"/>
      <name val="Open Sans"/>
      <family val="2"/>
    </font>
    <font>
      <b/>
      <sz val="7"/>
      <name val="Open Sans"/>
      <family val="2"/>
    </font>
    <font>
      <sz val="10"/>
      <name val="Open Sans"/>
      <family val="2"/>
    </font>
    <font>
      <sz val="7"/>
      <color indexed="21"/>
      <name val="Open Sans"/>
      <family val="2"/>
    </font>
    <font>
      <b/>
      <sz val="7.5"/>
      <name val="Verdana"/>
      <family val="2"/>
    </font>
    <font>
      <sz val="7.5"/>
      <name val="Verdana"/>
      <family val="2"/>
    </font>
    <font>
      <i/>
      <sz val="7.5"/>
      <name val="Verdana"/>
      <family val="2"/>
    </font>
    <font>
      <b/>
      <sz val="7"/>
      <color indexed="9"/>
      <name val="Open Sans"/>
      <family val="2"/>
    </font>
    <font>
      <sz val="7"/>
      <color indexed="9"/>
      <name val="Open Sans"/>
      <family val="2"/>
    </font>
    <font>
      <b/>
      <sz val="7"/>
      <color indexed="21"/>
      <name val="Open Sans"/>
      <family val="2"/>
    </font>
    <font>
      <sz val="7"/>
      <color indexed="8"/>
      <name val="Open Sans"/>
      <family val="2"/>
    </font>
    <font>
      <sz val="7"/>
      <color indexed="60"/>
      <name val="Open Sans"/>
      <family val="2"/>
    </font>
    <font>
      <b/>
      <sz val="7"/>
      <color indexed="60"/>
      <name val="Open Sans"/>
      <family val="2"/>
    </font>
    <font>
      <b/>
      <u val="single"/>
      <sz val="7"/>
      <color indexed="21"/>
      <name val="Open Sans"/>
      <family val="2"/>
    </font>
    <font>
      <b/>
      <sz val="7"/>
      <color indexed="8"/>
      <name val="Open Sans"/>
      <family val="2"/>
    </font>
    <font>
      <sz val="6"/>
      <color indexed="8"/>
      <name val="Open Sans"/>
      <family val="2"/>
    </font>
    <font>
      <b/>
      <sz val="6"/>
      <color indexed="8"/>
      <name val="Open Sans"/>
      <family val="2"/>
    </font>
    <font>
      <b/>
      <sz val="2"/>
      <color indexed="8"/>
      <name val="Open Sans"/>
      <family val="2"/>
    </font>
    <font>
      <b/>
      <sz val="7"/>
      <color theme="0"/>
      <name val="Open Sans"/>
      <family val="2"/>
    </font>
    <font>
      <sz val="7"/>
      <color theme="0"/>
      <name val="Open Sans"/>
      <family val="2"/>
    </font>
    <font>
      <b/>
      <sz val="11"/>
      <color theme="1"/>
      <name val="Calibri"/>
      <family val="2"/>
    </font>
    <font>
      <b/>
      <sz val="7"/>
      <color rgb="FF00A082"/>
      <name val="Open Sans"/>
      <family val="2"/>
    </font>
    <font>
      <sz val="7"/>
      <color rgb="FF000000"/>
      <name val="Open Sans"/>
      <family val="2"/>
    </font>
    <font>
      <sz val="7"/>
      <color rgb="FF993300"/>
      <name val="Open Sans"/>
      <family val="2"/>
    </font>
    <font>
      <b/>
      <sz val="7"/>
      <color rgb="FF993300"/>
      <name val="Open Sans"/>
      <family val="2"/>
    </font>
    <font>
      <sz val="7"/>
      <color theme="1"/>
      <name val="Open Sans"/>
      <family val="2"/>
    </font>
    <font>
      <sz val="7"/>
      <color rgb="FF00A082"/>
      <name val="Open Sans"/>
      <family val="2"/>
    </font>
    <font>
      <b/>
      <u val="single"/>
      <sz val="7"/>
      <color rgb="FF00A082"/>
      <name val="Open Sans"/>
      <family val="2"/>
    </font>
    <font>
      <b/>
      <sz val="7"/>
      <color rgb="FF000000"/>
      <name val="Open Sans"/>
      <family val="2"/>
    </font>
    <font>
      <b/>
      <sz val="7"/>
      <color theme="1"/>
      <name val="Open Sans"/>
      <family val="2"/>
    </font>
    <font>
      <sz val="6"/>
      <color theme="1"/>
      <name val="Open Sans"/>
      <family val="2"/>
    </font>
    <font>
      <b/>
      <sz val="6"/>
      <color theme="1"/>
      <name val="Open Sans"/>
      <family val="2"/>
    </font>
    <font>
      <b/>
      <sz val="2"/>
      <color theme="1"/>
      <name val="Open Sans"/>
      <family val="2"/>
    </font>
  </fonts>
  <fills count="51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6E6E6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</fills>
  <borders count="1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>
        <color theme="0" tint="-0.3499799966812134"/>
      </right>
      <top/>
      <bottom style="thin">
        <color theme="0"/>
      </bottom>
    </border>
    <border>
      <left/>
      <right style="thin">
        <color theme="0" tint="-0.3499799966812134"/>
      </right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>
        <color theme="0" tint="-0.3499799966812134"/>
      </right>
      <top style="thin">
        <color theme="0"/>
      </top>
      <bottom style="thin">
        <color rgb="FF6E6E6E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medium"/>
      <bottom style="medium"/>
    </border>
    <border>
      <left style="thin"/>
      <right style="thin">
        <color theme="0" tint="-0.3499799966812134"/>
      </right>
      <top style="thin">
        <color theme="0"/>
      </top>
      <bottom/>
    </border>
    <border>
      <left style="thin"/>
      <right style="thin">
        <color theme="0" tint="-0.3499799966812134"/>
      </right>
      <top style="thin">
        <color theme="0"/>
      </top>
      <bottom style="thin">
        <color theme="0"/>
      </bottom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n">
        <color rgb="FF6E6E6E"/>
      </bottom>
    </border>
    <border>
      <left/>
      <right/>
      <top style="thin">
        <color rgb="FF6E6E6E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rgb="FF6E6E6E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/>
      <top style="thin">
        <color theme="0" tint="-0.3499799966812134"/>
      </top>
      <bottom style="thin">
        <color theme="0" tint="-0.3499799966812134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>
        <color rgb="FF6E6E6E"/>
      </bottom>
    </border>
    <border>
      <left style="thin"/>
      <right/>
      <top/>
      <bottom style="thin">
        <color theme="0" tint="-0.3499799966812134"/>
      </bottom>
    </border>
    <border>
      <left style="thin"/>
      <right/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>
        <color theme="0" tint="-0.4999699890613556"/>
      </top>
      <bottom>
        <color indexed="63"/>
      </bottom>
    </border>
    <border>
      <left style="thin"/>
      <right/>
      <top style="thin">
        <color theme="0" tint="-0.3499799966812134"/>
      </top>
      <bottom>
        <color indexed="63"/>
      </bottom>
    </border>
    <border>
      <left style="thin"/>
      <right/>
      <top style="thin">
        <color theme="0" tint="-0.3499799966812134"/>
      </top>
      <bottom style="thin">
        <color theme="0" tint="-0.24997000396251678"/>
      </bottom>
    </border>
    <border>
      <left style="thin"/>
      <right/>
      <top>
        <color indexed="63"/>
      </top>
      <bottom style="thin">
        <color theme="0" tint="-0.24997000396251678"/>
      </bottom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 tint="-0.3499799966812134"/>
      </right>
      <top style="thin"/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/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 style="thin">
        <color theme="0"/>
      </right>
      <top style="thin"/>
      <bottom style="thin"/>
    </border>
    <border>
      <left>
        <color indexed="63"/>
      </left>
      <right style="thin">
        <color theme="0"/>
      </right>
      <top style="thin"/>
      <bottom/>
    </border>
    <border>
      <left>
        <color indexed="63"/>
      </left>
      <right style="thin">
        <color theme="0"/>
      </right>
      <top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theme="0" tint="-0.3499799966812134"/>
      </right>
      <top style="thin"/>
      <bottom style="thin"/>
    </border>
    <border>
      <left>
        <color indexed="63"/>
      </left>
      <right style="thin">
        <color theme="0" tint="-0.3499799966812134"/>
      </right>
      <top>
        <color indexed="63"/>
      </top>
      <bottom style="thin"/>
    </border>
    <border>
      <left style="thin">
        <color theme="0"/>
      </left>
      <right style="thin">
        <color theme="0" tint="-0.3499799966812134"/>
      </right>
      <top style="thin"/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/>
    </border>
    <border>
      <left style="thin">
        <color theme="0"/>
      </left>
      <right style="thin">
        <color theme="0" tint="-0.3499799966812134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 tint="-0.3499799966812134"/>
      </right>
      <top/>
      <bottom/>
    </border>
    <border>
      <left style="thin">
        <color theme="0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 tint="-0.3499799966812134"/>
      </right>
      <top/>
      <bottom style="thin">
        <color theme="0"/>
      </bottom>
    </border>
    <border>
      <left style="thin"/>
      <right style="thin">
        <color theme="0" tint="-0.3499799966812134"/>
      </right>
      <top/>
      <bottom/>
    </border>
    <border>
      <left style="thin"/>
      <right style="thin">
        <color theme="0" tint="-0.3499799966812134"/>
      </right>
      <top/>
      <bottom style="thin">
        <color theme="0"/>
      </bottom>
    </border>
    <border>
      <left/>
      <right/>
      <top style="thin">
        <color theme="0" tint="-0.4999699890613556"/>
      </top>
      <bottom style="thin">
        <color theme="0" tint="-0.3499799966812134"/>
      </bottom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3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9" borderId="0" applyNumberFormat="0" applyBorder="0" applyAlignment="0" applyProtection="0"/>
    <xf numFmtId="0" fontId="29" fillId="30" borderId="0" applyNumberFormat="0" applyBorder="0" applyAlignment="0" applyProtection="0"/>
    <xf numFmtId="0" fontId="29" fillId="28" borderId="0" applyNumberFormat="0" applyBorder="0" applyAlignment="0" applyProtection="0"/>
    <xf numFmtId="0" fontId="29" fillId="31" borderId="0" applyNumberFormat="0" applyBorder="0" applyAlignment="0" applyProtection="0"/>
    <xf numFmtId="0" fontId="5" fillId="18" borderId="0" applyNumberFormat="0" applyBorder="0" applyAlignment="0" applyProtection="0"/>
    <xf numFmtId="0" fontId="6" fillId="32" borderId="1" applyNumberFormat="0" applyAlignment="0" applyProtection="0"/>
    <xf numFmtId="0" fontId="7" fillId="19" borderId="2" applyNumberFormat="0" applyAlignment="0" applyProtection="0"/>
    <xf numFmtId="0" fontId="30" fillId="11" borderId="1" applyNumberFormat="0" applyAlignment="0" applyProtection="0"/>
    <xf numFmtId="0" fontId="31" fillId="5" borderId="3" applyNumberFormat="0" applyAlignment="0" applyProtection="0"/>
    <xf numFmtId="0" fontId="32" fillId="33" borderId="0" applyNumberFormat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37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7" borderId="1" applyNumberFormat="0" applyAlignment="0" applyProtection="0"/>
    <xf numFmtId="0" fontId="33" fillId="0" borderId="7" applyNumberFormat="0" applyFill="0" applyAlignment="0" applyProtection="0"/>
    <xf numFmtId="0" fontId="34" fillId="38" borderId="2" applyNumberFormat="0" applyAlignment="0" applyProtection="0"/>
    <xf numFmtId="0" fontId="16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7" fillId="27" borderId="0" applyNumberFormat="0" applyBorder="0" applyAlignment="0" applyProtection="0"/>
    <xf numFmtId="0" fontId="38" fillId="11" borderId="0" applyNumberFormat="0" applyBorder="0" applyAlignment="0" applyProtection="0"/>
    <xf numFmtId="0" fontId="0" fillId="0" borderId="0">
      <alignment/>
      <protection/>
    </xf>
    <xf numFmtId="0" fontId="0" fillId="26" borderId="11" applyNumberFormat="0" applyFont="0" applyAlignment="0" applyProtection="0"/>
    <xf numFmtId="0" fontId="39" fillId="5" borderId="1" applyNumberFormat="0" applyAlignment="0" applyProtection="0"/>
    <xf numFmtId="0" fontId="18" fillId="0" borderId="0" applyNumberFormat="0" applyFill="0" applyBorder="0" applyAlignment="0" applyProtection="0"/>
    <xf numFmtId="0" fontId="19" fillId="32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0" fillId="39" borderId="12" applyNumberFormat="0" applyProtection="0">
      <alignment vertical="center"/>
    </xf>
    <xf numFmtId="4" fontId="21" fillId="39" borderId="12" applyNumberFormat="0" applyProtection="0">
      <alignment vertical="center"/>
    </xf>
    <xf numFmtId="4" fontId="20" fillId="39" borderId="12" applyNumberFormat="0" applyProtection="0">
      <alignment horizontal="left" vertical="center" indent="1"/>
    </xf>
    <xf numFmtId="0" fontId="20" fillId="39" borderId="12" applyNumberFormat="0" applyProtection="0">
      <alignment horizontal="left" vertical="top" indent="1"/>
    </xf>
    <xf numFmtId="4" fontId="20" fillId="2" borderId="0" applyNumberFormat="0" applyProtection="0">
      <alignment horizontal="left" vertical="center" indent="1"/>
    </xf>
    <xf numFmtId="4" fontId="1" fillId="7" borderId="12" applyNumberFormat="0" applyProtection="0">
      <alignment horizontal="right" vertical="center"/>
    </xf>
    <xf numFmtId="4" fontId="1" fillId="3" borderId="12" applyNumberFormat="0" applyProtection="0">
      <alignment horizontal="right" vertical="center"/>
    </xf>
    <xf numFmtId="4" fontId="1" fillId="29" borderId="12" applyNumberFormat="0" applyProtection="0">
      <alignment horizontal="right" vertical="center"/>
    </xf>
    <xf numFmtId="4" fontId="1" fillId="31" borderId="12" applyNumberFormat="0" applyProtection="0">
      <alignment horizontal="right" vertical="center"/>
    </xf>
    <xf numFmtId="4" fontId="1" fillId="40" borderId="12" applyNumberFormat="0" applyProtection="0">
      <alignment horizontal="right" vertical="center"/>
    </xf>
    <xf numFmtId="4" fontId="1" fillId="41" borderId="12" applyNumberFormat="0" applyProtection="0">
      <alignment horizontal="right" vertical="center"/>
    </xf>
    <xf numFmtId="4" fontId="1" fillId="9" borderId="12" applyNumberFormat="0" applyProtection="0">
      <alignment horizontal="right" vertical="center"/>
    </xf>
    <xf numFmtId="4" fontId="1" fillId="33" borderId="12" applyNumberFormat="0" applyProtection="0">
      <alignment horizontal="right" vertical="center"/>
    </xf>
    <xf numFmtId="4" fontId="1" fillId="42" borderId="12" applyNumberFormat="0" applyProtection="0">
      <alignment horizontal="right" vertical="center"/>
    </xf>
    <xf numFmtId="4" fontId="20" fillId="43" borderId="13" applyNumberFormat="0" applyProtection="0">
      <alignment horizontal="left" vertical="center" indent="1"/>
    </xf>
    <xf numFmtId="4" fontId="1" fillId="44" borderId="0" applyNumberFormat="0" applyProtection="0">
      <alignment horizontal="left" vertical="center" indent="1"/>
    </xf>
    <xf numFmtId="4" fontId="22" fillId="8" borderId="0" applyNumberFormat="0" applyProtection="0">
      <alignment horizontal="left" vertical="center" indent="1"/>
    </xf>
    <xf numFmtId="4" fontId="1" fillId="2" borderId="12" applyNumberFormat="0" applyProtection="0">
      <alignment horizontal="right" vertical="center"/>
    </xf>
    <xf numFmtId="4" fontId="1" fillId="44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0" fillId="8" borderId="12" applyNumberFormat="0" applyProtection="0">
      <alignment horizontal="left" vertical="center" indent="1"/>
    </xf>
    <xf numFmtId="0" fontId="0" fillId="8" borderId="12" applyNumberFormat="0" applyProtection="0">
      <alignment horizontal="left" vertical="top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top" indent="1"/>
    </xf>
    <xf numFmtId="0" fontId="0" fillId="6" borderId="12" applyNumberFormat="0" applyProtection="0">
      <alignment horizontal="left" vertical="center" indent="1"/>
    </xf>
    <xf numFmtId="0" fontId="0" fillId="6" borderId="12" applyNumberFormat="0" applyProtection="0">
      <alignment horizontal="left" vertical="top" indent="1"/>
    </xf>
    <xf numFmtId="0" fontId="0" fillId="44" borderId="12" applyNumberFormat="0" applyProtection="0">
      <alignment horizontal="left" vertical="center" indent="1"/>
    </xf>
    <xf numFmtId="0" fontId="0" fillId="44" borderId="12" applyNumberFormat="0" applyProtection="0">
      <alignment horizontal="left" vertical="top" indent="1"/>
    </xf>
    <xf numFmtId="0" fontId="0" fillId="5" borderId="14" applyNumberFormat="0">
      <alignment/>
      <protection locked="0"/>
    </xf>
    <xf numFmtId="4" fontId="1" fillId="4" borderId="12" applyNumberFormat="0" applyProtection="0">
      <alignment vertical="center"/>
    </xf>
    <xf numFmtId="4" fontId="23" fillId="4" borderId="12" applyNumberFormat="0" applyProtection="0">
      <alignment vertical="center"/>
    </xf>
    <xf numFmtId="4" fontId="1" fillId="4" borderId="12" applyNumberFormat="0" applyProtection="0">
      <alignment horizontal="left" vertical="center" indent="1"/>
    </xf>
    <xf numFmtId="0" fontId="1" fillId="4" borderId="12" applyNumberFormat="0" applyProtection="0">
      <alignment horizontal="left" vertical="top" indent="1"/>
    </xf>
    <xf numFmtId="4" fontId="1" fillId="44" borderId="12" applyNumberFormat="0" applyProtection="0">
      <alignment horizontal="right" vertical="center"/>
    </xf>
    <xf numFmtId="4" fontId="23" fillId="44" borderId="12" applyNumberFormat="0" applyProtection="0">
      <alignment horizontal="right" vertical="center"/>
    </xf>
    <xf numFmtId="4" fontId="1" fillId="2" borderId="12" applyNumberFormat="0" applyProtection="0">
      <alignment horizontal="left" vertical="center" indent="1"/>
    </xf>
    <xf numFmtId="0" fontId="1" fillId="2" borderId="12" applyNumberFormat="0" applyProtection="0">
      <alignment horizontal="left" vertical="top" indent="1"/>
    </xf>
    <xf numFmtId="4" fontId="24" fillId="45" borderId="0" applyNumberFormat="0" applyProtection="0">
      <alignment horizontal="left" vertical="center" indent="1"/>
    </xf>
    <xf numFmtId="4" fontId="25" fillId="44" borderId="12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0" fillId="4" borderId="11" applyNumberFormat="0" applyFont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3" fillId="46" borderId="0" applyNumberFormat="0" applyBorder="0" applyAlignment="0" applyProtection="0"/>
  </cellStyleXfs>
  <cellXfs count="572">
    <xf numFmtId="0" fontId="0" fillId="0" borderId="0" xfId="0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176" fontId="62" fillId="47" borderId="17" xfId="0" applyNumberFormat="1" applyFont="1" applyFill="1" applyBorder="1" applyAlignment="1">
      <alignment horizontal="right" vertical="center" indent="1"/>
    </xf>
    <xf numFmtId="0" fontId="44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176" fontId="63" fillId="47" borderId="17" xfId="0" applyNumberFormat="1" applyFont="1" applyFill="1" applyBorder="1" applyAlignment="1">
      <alignment horizontal="right" vertical="center" indent="1"/>
    </xf>
    <xf numFmtId="0" fontId="45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/>
    </xf>
    <xf numFmtId="0" fontId="64" fillId="48" borderId="0" xfId="0" applyFont="1" applyFill="1" applyAlignment="1">
      <alignment/>
    </xf>
    <xf numFmtId="0" fontId="0" fillId="48" borderId="0" xfId="0" applyFill="1" applyBorder="1" applyAlignment="1">
      <alignment/>
    </xf>
    <xf numFmtId="0" fontId="0" fillId="48" borderId="0" xfId="0" applyFill="1" applyAlignment="1">
      <alignment/>
    </xf>
    <xf numFmtId="0" fontId="65" fillId="0" borderId="0" xfId="109" applyFont="1" applyFill="1" applyAlignment="1">
      <alignment horizontal="left"/>
      <protection/>
    </xf>
    <xf numFmtId="0" fontId="65" fillId="0" borderId="0" xfId="109" applyFont="1" applyFill="1" applyBorder="1" applyAlignment="1">
      <alignment horizontal="left"/>
      <protection/>
    </xf>
    <xf numFmtId="0" fontId="65" fillId="48" borderId="0" xfId="109" applyFont="1" applyFill="1" applyBorder="1" applyAlignment="1">
      <alignment horizontal="center" wrapText="1"/>
      <protection/>
    </xf>
    <xf numFmtId="176" fontId="45" fillId="0" borderId="18" xfId="109" applyNumberFormat="1" applyFont="1" applyFill="1" applyBorder="1" applyAlignment="1">
      <alignment vertical="center"/>
      <protection/>
    </xf>
    <xf numFmtId="176" fontId="45" fillId="0" borderId="0" xfId="109" applyNumberFormat="1" applyFont="1" applyFill="1" applyBorder="1" applyAlignment="1">
      <alignment vertical="center"/>
      <protection/>
    </xf>
    <xf numFmtId="176" fontId="45" fillId="48" borderId="18" xfId="109" applyNumberFormat="1" applyFont="1" applyFill="1" applyBorder="1" applyAlignment="1">
      <alignment horizontal="right" vertical="center" indent="1"/>
      <protection/>
    </xf>
    <xf numFmtId="176" fontId="45" fillId="48" borderId="0" xfId="109" applyNumberFormat="1" applyFont="1" applyFill="1" applyBorder="1" applyAlignment="1">
      <alignment horizontal="right" vertical="center" indent="1"/>
      <protection/>
    </xf>
    <xf numFmtId="176" fontId="45" fillId="48" borderId="19" xfId="109" applyNumberFormat="1" applyFont="1" applyFill="1" applyBorder="1" applyAlignment="1">
      <alignment horizontal="right" vertical="center" indent="1"/>
      <protection/>
    </xf>
    <xf numFmtId="176" fontId="45" fillId="48" borderId="20" xfId="109" applyNumberFormat="1" applyFont="1" applyFill="1" applyBorder="1" applyAlignment="1">
      <alignment horizontal="right" vertical="center" indent="1"/>
      <protection/>
    </xf>
    <xf numFmtId="176" fontId="62" fillId="47" borderId="21" xfId="0" applyNumberFormat="1" applyFont="1" applyFill="1" applyBorder="1" applyAlignment="1">
      <alignment horizontal="right" vertical="center" indent="1"/>
    </xf>
    <xf numFmtId="0" fontId="64" fillId="0" borderId="0" xfId="0" applyFont="1" applyAlignment="1">
      <alignment/>
    </xf>
    <xf numFmtId="0" fontId="44" fillId="0" borderId="18" xfId="109" applyFont="1" applyFill="1" applyBorder="1" applyAlignment="1">
      <alignment horizontal="left" vertical="center" indent="2"/>
      <protection/>
    </xf>
    <xf numFmtId="0" fontId="44" fillId="0" borderId="0" xfId="109" applyFont="1" applyFill="1" applyBorder="1" applyAlignment="1">
      <alignment horizontal="left" vertical="center" indent="2"/>
      <protection/>
    </xf>
    <xf numFmtId="176" fontId="44" fillId="48" borderId="18" xfId="109" applyNumberFormat="1" applyFont="1" applyFill="1" applyBorder="1" applyAlignment="1">
      <alignment horizontal="right" vertical="center" indent="1"/>
      <protection/>
    </xf>
    <xf numFmtId="176" fontId="44" fillId="48" borderId="0" xfId="109" applyNumberFormat="1" applyFont="1" applyFill="1" applyBorder="1" applyAlignment="1">
      <alignment horizontal="right" vertical="center" indent="1"/>
      <protection/>
    </xf>
    <xf numFmtId="176" fontId="44" fillId="48" borderId="19" xfId="109" applyNumberFormat="1" applyFont="1" applyFill="1" applyBorder="1" applyAlignment="1">
      <alignment horizontal="right" vertical="center" indent="1"/>
      <protection/>
    </xf>
    <xf numFmtId="176" fontId="44" fillId="48" borderId="20" xfId="109" applyNumberFormat="1" applyFont="1" applyFill="1" applyBorder="1" applyAlignment="1">
      <alignment horizontal="right" vertical="center" indent="1"/>
      <protection/>
    </xf>
    <xf numFmtId="0" fontId="66" fillId="0" borderId="18" xfId="109" applyFont="1" applyFill="1" applyBorder="1" applyAlignment="1">
      <alignment horizontal="left" vertical="center" indent="2"/>
      <protection/>
    </xf>
    <xf numFmtId="0" fontId="66" fillId="0" borderId="0" xfId="109" applyFont="1" applyFill="1" applyBorder="1" applyAlignment="1">
      <alignment horizontal="left" vertical="center" indent="2"/>
      <protection/>
    </xf>
    <xf numFmtId="0" fontId="66" fillId="0" borderId="18" xfId="109" applyFont="1" applyFill="1" applyBorder="1" applyAlignment="1">
      <alignment horizontal="left" vertical="center" wrapText="1" indent="2"/>
      <protection/>
    </xf>
    <xf numFmtId="0" fontId="66" fillId="0" borderId="0" xfId="109" applyFont="1" applyFill="1" applyBorder="1" applyAlignment="1">
      <alignment horizontal="left" vertical="center" wrapText="1" indent="2"/>
      <protection/>
    </xf>
    <xf numFmtId="176" fontId="63" fillId="47" borderId="21" xfId="0" applyNumberFormat="1" applyFont="1" applyFill="1" applyBorder="1" applyAlignment="1">
      <alignment horizontal="right" vertical="center" indent="1"/>
    </xf>
    <xf numFmtId="0" fontId="44" fillId="0" borderId="18" xfId="109" applyFont="1" applyFill="1" applyBorder="1" applyAlignment="1">
      <alignment horizontal="left" vertical="center" wrapText="1" indent="2"/>
      <protection/>
    </xf>
    <xf numFmtId="0" fontId="44" fillId="0" borderId="0" xfId="109" applyFont="1" applyFill="1" applyBorder="1" applyAlignment="1">
      <alignment horizontal="left" vertical="center" wrapText="1" indent="2"/>
      <protection/>
    </xf>
    <xf numFmtId="176" fontId="44" fillId="0" borderId="18" xfId="109" applyNumberFormat="1" applyFont="1" applyFill="1" applyBorder="1" applyAlignment="1">
      <alignment vertical="center"/>
      <protection/>
    </xf>
    <xf numFmtId="176" fontId="44" fillId="0" borderId="0" xfId="109" applyNumberFormat="1" applyFont="1" applyFill="1" applyBorder="1" applyAlignment="1">
      <alignment vertical="center"/>
      <protection/>
    </xf>
    <xf numFmtId="176" fontId="63" fillId="47" borderId="22" xfId="0" applyNumberFormat="1" applyFont="1" applyFill="1" applyBorder="1" applyAlignment="1">
      <alignment horizontal="right" vertical="center" indent="1"/>
    </xf>
    <xf numFmtId="176" fontId="65" fillId="0" borderId="18" xfId="109" applyNumberFormat="1" applyFont="1" applyFill="1" applyBorder="1" applyAlignment="1">
      <alignment vertical="center"/>
      <protection/>
    </xf>
    <xf numFmtId="176" fontId="65" fillId="0" borderId="0" xfId="109" applyNumberFormat="1" applyFont="1" applyFill="1" applyBorder="1" applyAlignment="1">
      <alignment vertical="center"/>
      <protection/>
    </xf>
    <xf numFmtId="176" fontId="45" fillId="0" borderId="23" xfId="109" applyNumberFormat="1" applyFont="1" applyFill="1" applyBorder="1" applyAlignment="1">
      <alignment vertical="center"/>
      <protection/>
    </xf>
    <xf numFmtId="176" fontId="45" fillId="48" borderId="23" xfId="109" applyNumberFormat="1" applyFont="1" applyFill="1" applyBorder="1" applyAlignment="1">
      <alignment horizontal="right" vertical="center" indent="1"/>
      <protection/>
    </xf>
    <xf numFmtId="176" fontId="45" fillId="48" borderId="24" xfId="109" applyNumberFormat="1" applyFont="1" applyFill="1" applyBorder="1" applyAlignment="1">
      <alignment horizontal="right" vertical="center" indent="1"/>
      <protection/>
    </xf>
    <xf numFmtId="176" fontId="63" fillId="47" borderId="25" xfId="0" applyNumberFormat="1" applyFont="1" applyFill="1" applyBorder="1" applyAlignment="1">
      <alignment horizontal="right" vertical="center" indent="1"/>
    </xf>
    <xf numFmtId="0" fontId="44" fillId="0" borderId="26" xfId="109" applyFont="1" applyFill="1" applyBorder="1" applyAlignment="1">
      <alignment horizontal="left" vertical="center" indent="2"/>
      <protection/>
    </xf>
    <xf numFmtId="176" fontId="44" fillId="48" borderId="26" xfId="109" applyNumberFormat="1" applyFont="1" applyFill="1" applyBorder="1" applyAlignment="1">
      <alignment horizontal="right" vertical="center" indent="1"/>
      <protection/>
    </xf>
    <xf numFmtId="176" fontId="44" fillId="48" borderId="27" xfId="109" applyNumberFormat="1" applyFont="1" applyFill="1" applyBorder="1" applyAlignment="1">
      <alignment horizontal="right" vertical="center" indent="1"/>
      <protection/>
    </xf>
    <xf numFmtId="176" fontId="65" fillId="0" borderId="23" xfId="109" applyNumberFormat="1" applyFont="1" applyFill="1" applyBorder="1" applyAlignment="1">
      <alignment vertical="center"/>
      <protection/>
    </xf>
    <xf numFmtId="176" fontId="65" fillId="0" borderId="26" xfId="109" applyNumberFormat="1" applyFont="1" applyFill="1" applyBorder="1" applyAlignment="1">
      <alignment vertical="center"/>
      <protection/>
    </xf>
    <xf numFmtId="176" fontId="45" fillId="48" borderId="26" xfId="109" applyNumberFormat="1" applyFont="1" applyFill="1" applyBorder="1" applyAlignment="1">
      <alignment horizontal="right" vertical="center" indent="1"/>
      <protection/>
    </xf>
    <xf numFmtId="176" fontId="45" fillId="48" borderId="27" xfId="109" applyNumberFormat="1" applyFont="1" applyFill="1" applyBorder="1" applyAlignment="1">
      <alignment horizontal="right" vertical="center" indent="1"/>
      <protection/>
    </xf>
    <xf numFmtId="0" fontId="0" fillId="0" borderId="0" xfId="109">
      <alignment/>
      <protection/>
    </xf>
    <xf numFmtId="0" fontId="0" fillId="0" borderId="0" xfId="109" applyBorder="1">
      <alignment/>
      <protection/>
    </xf>
    <xf numFmtId="3" fontId="45" fillId="48" borderId="0" xfId="109" applyNumberFormat="1" applyFont="1" applyFill="1" applyBorder="1" applyAlignment="1">
      <alignment vertical="center"/>
      <protection/>
    </xf>
    <xf numFmtId="3" fontId="45" fillId="48" borderId="0" xfId="109" applyNumberFormat="1" applyFont="1" applyFill="1" applyBorder="1" applyAlignment="1">
      <alignment horizontal="right" vertical="center"/>
      <protection/>
    </xf>
    <xf numFmtId="3" fontId="44" fillId="48" borderId="0" xfId="109" applyNumberFormat="1" applyFont="1" applyFill="1" applyBorder="1" applyAlignment="1">
      <alignment horizontal="right" vertical="center"/>
      <protection/>
    </xf>
    <xf numFmtId="176" fontId="44" fillId="0" borderId="18" xfId="109" applyNumberFormat="1" applyFont="1" applyFill="1" applyBorder="1" applyAlignment="1">
      <alignment horizontal="left" vertical="center" indent="2"/>
      <protection/>
    </xf>
    <xf numFmtId="0" fontId="0" fillId="0" borderId="0" xfId="0" applyBorder="1" applyAlignment="1">
      <alignment/>
    </xf>
    <xf numFmtId="0" fontId="44" fillId="0" borderId="0" xfId="0" applyFont="1" applyFill="1" applyAlignment="1">
      <alignment vertical="center" wrapText="1"/>
    </xf>
    <xf numFmtId="0" fontId="44" fillId="48" borderId="0" xfId="0" applyFont="1" applyFill="1" applyAlignment="1">
      <alignment/>
    </xf>
    <xf numFmtId="0" fontId="44" fillId="48" borderId="0" xfId="0" applyFont="1" applyFill="1" applyBorder="1" applyAlignment="1">
      <alignment/>
    </xf>
    <xf numFmtId="0" fontId="65" fillId="0" borderId="0" xfId="109" applyFont="1" applyFill="1" applyBorder="1" applyAlignment="1">
      <alignment horizontal="center" wrapText="1"/>
      <protection/>
    </xf>
    <xf numFmtId="0" fontId="65" fillId="48" borderId="0" xfId="0" applyFont="1" applyFill="1" applyBorder="1" applyAlignment="1">
      <alignment horizontal="center" wrapText="1"/>
    </xf>
    <xf numFmtId="0" fontId="44" fillId="0" borderId="28" xfId="0" applyFont="1" applyFill="1" applyBorder="1" applyAlignment="1">
      <alignment/>
    </xf>
    <xf numFmtId="0" fontId="65" fillId="0" borderId="18" xfId="0" applyFont="1" applyFill="1" applyBorder="1" applyAlignment="1">
      <alignment horizontal="left" vertical="center"/>
    </xf>
    <xf numFmtId="0" fontId="45" fillId="48" borderId="0" xfId="0" applyFont="1" applyFill="1" applyBorder="1" applyAlignment="1">
      <alignment horizontal="right" vertical="center" wrapText="1"/>
    </xf>
    <xf numFmtId="0" fontId="45" fillId="48" borderId="18" xfId="0" applyFont="1" applyFill="1" applyBorder="1" applyAlignment="1">
      <alignment horizontal="right" vertical="center" wrapText="1"/>
    </xf>
    <xf numFmtId="0" fontId="45" fillId="48" borderId="20" xfId="0" applyFont="1" applyFill="1" applyBorder="1" applyAlignment="1">
      <alignment horizontal="right" vertical="center" wrapText="1"/>
    </xf>
    <xf numFmtId="176" fontId="44" fillId="48" borderId="18" xfId="0" applyNumberFormat="1" applyFont="1" applyFill="1" applyBorder="1" applyAlignment="1">
      <alignment horizontal="right" vertical="center" indent="1"/>
    </xf>
    <xf numFmtId="176" fontId="44" fillId="48" borderId="0" xfId="0" applyNumberFormat="1" applyFont="1" applyFill="1" applyBorder="1" applyAlignment="1">
      <alignment horizontal="right" vertical="center" indent="1"/>
    </xf>
    <xf numFmtId="176" fontId="44" fillId="48" borderId="20" xfId="0" applyNumberFormat="1" applyFont="1" applyFill="1" applyBorder="1" applyAlignment="1">
      <alignment horizontal="right" vertical="center" indent="1"/>
    </xf>
    <xf numFmtId="0" fontId="44" fillId="0" borderId="18" xfId="0" applyFont="1" applyFill="1" applyBorder="1" applyAlignment="1">
      <alignment horizontal="left" vertical="center" indent="2"/>
    </xf>
    <xf numFmtId="0" fontId="44" fillId="0" borderId="18" xfId="0" applyFont="1" applyFill="1" applyBorder="1" applyAlignment="1">
      <alignment vertical="center" wrapText="1"/>
    </xf>
    <xf numFmtId="176" fontId="63" fillId="47" borderId="29" xfId="0" applyNumberFormat="1" applyFont="1" applyFill="1" applyBorder="1" applyAlignment="1">
      <alignment horizontal="right" vertical="center" indent="1"/>
    </xf>
    <xf numFmtId="176" fontId="63" fillId="47" borderId="30" xfId="0" applyNumberFormat="1" applyFont="1" applyFill="1" applyBorder="1" applyAlignment="1">
      <alignment horizontal="right" vertical="center" indent="1"/>
    </xf>
    <xf numFmtId="0" fontId="44" fillId="48" borderId="18" xfId="0" applyFont="1" applyFill="1" applyBorder="1" applyAlignment="1">
      <alignment horizontal="left" vertical="center" indent="2"/>
    </xf>
    <xf numFmtId="0" fontId="44" fillId="48" borderId="18" xfId="0" applyFont="1" applyFill="1" applyBorder="1" applyAlignment="1">
      <alignment vertical="center" wrapText="1"/>
    </xf>
    <xf numFmtId="0" fontId="44" fillId="48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left" vertical="center" wrapText="1"/>
    </xf>
    <xf numFmtId="176" fontId="45" fillId="48" borderId="0" xfId="0" applyNumberFormat="1" applyFont="1" applyFill="1" applyBorder="1" applyAlignment="1">
      <alignment horizontal="right" vertical="center" indent="1"/>
    </xf>
    <xf numFmtId="176" fontId="45" fillId="48" borderId="18" xfId="0" applyNumberFormat="1" applyFont="1" applyFill="1" applyBorder="1" applyAlignment="1">
      <alignment horizontal="right" vertical="center" indent="1"/>
    </xf>
    <xf numFmtId="176" fontId="45" fillId="48" borderId="20" xfId="0" applyNumberFormat="1" applyFont="1" applyFill="1" applyBorder="1" applyAlignment="1">
      <alignment horizontal="right" vertical="center" indent="1"/>
    </xf>
    <xf numFmtId="0" fontId="45" fillId="0" borderId="28" xfId="0" applyFont="1" applyFill="1" applyBorder="1" applyAlignment="1">
      <alignment/>
    </xf>
    <xf numFmtId="0" fontId="45" fillId="0" borderId="18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176" fontId="44" fillId="0" borderId="0" xfId="109" applyNumberFormat="1" applyFont="1" applyFill="1">
      <alignment/>
      <protection/>
    </xf>
    <xf numFmtId="176" fontId="44" fillId="48" borderId="0" xfId="0" applyNumberFormat="1" applyFont="1" applyFill="1" applyBorder="1" applyAlignment="1">
      <alignment/>
    </xf>
    <xf numFmtId="176" fontId="44" fillId="48" borderId="0" xfId="0" applyNumberFormat="1" applyFont="1" applyFill="1" applyAlignment="1">
      <alignment/>
    </xf>
    <xf numFmtId="176" fontId="62" fillId="47" borderId="30" xfId="0" applyNumberFormat="1" applyFont="1" applyFill="1" applyBorder="1" applyAlignment="1">
      <alignment horizontal="right" vertical="center" indent="1"/>
    </xf>
    <xf numFmtId="0" fontId="65" fillId="0" borderId="0" xfId="109" applyFont="1" applyFill="1" applyBorder="1" applyAlignment="1">
      <alignment/>
      <protection/>
    </xf>
    <xf numFmtId="0" fontId="46" fillId="0" borderId="0" xfId="109" applyFont="1" applyFill="1">
      <alignment/>
      <protection/>
    </xf>
    <xf numFmtId="0" fontId="46" fillId="0" borderId="0" xfId="109" applyFont="1" applyFill="1" applyBorder="1">
      <alignment/>
      <protection/>
    </xf>
    <xf numFmtId="0" fontId="67" fillId="0" borderId="0" xfId="109" applyFont="1" applyFill="1">
      <alignment/>
      <protection/>
    </xf>
    <xf numFmtId="0" fontId="68" fillId="0" borderId="0" xfId="109" applyFont="1" applyFill="1">
      <alignment/>
      <protection/>
    </xf>
    <xf numFmtId="0" fontId="67" fillId="0" borderId="0" xfId="109" applyFont="1" applyFill="1" applyBorder="1">
      <alignment/>
      <protection/>
    </xf>
    <xf numFmtId="0" fontId="69" fillId="0" borderId="0" xfId="109" applyFont="1">
      <alignment/>
      <protection/>
    </xf>
    <xf numFmtId="0" fontId="65" fillId="0" borderId="0" xfId="109" applyFont="1" applyBorder="1" applyAlignment="1">
      <alignment/>
      <protection/>
    </xf>
    <xf numFmtId="0" fontId="45" fillId="0" borderId="31" xfId="109" applyFont="1" applyFill="1" applyBorder="1" applyAlignment="1">
      <alignment horizontal="center" wrapText="1"/>
      <protection/>
    </xf>
    <xf numFmtId="0" fontId="65" fillId="0" borderId="31" xfId="109" applyFont="1" applyFill="1" applyBorder="1" applyAlignment="1">
      <alignment horizontal="center" wrapText="1"/>
      <protection/>
    </xf>
    <xf numFmtId="0" fontId="45" fillId="0" borderId="0" xfId="109" applyFont="1" applyFill="1" applyAlignment="1">
      <alignment horizontal="right"/>
      <protection/>
    </xf>
    <xf numFmtId="0" fontId="66" fillId="0" borderId="32" xfId="109" applyFont="1" applyBorder="1" applyAlignment="1">
      <alignment vertical="center" wrapText="1"/>
      <protection/>
    </xf>
    <xf numFmtId="0" fontId="66" fillId="0" borderId="0" xfId="109" applyFont="1" applyBorder="1" applyAlignment="1">
      <alignment vertical="center" wrapText="1"/>
      <protection/>
    </xf>
    <xf numFmtId="3" fontId="66" fillId="0" borderId="32" xfId="109" applyNumberFormat="1" applyFont="1" applyBorder="1" applyAlignment="1">
      <alignment horizontal="right" vertical="center" indent="1"/>
      <protection/>
    </xf>
    <xf numFmtId="3" fontId="63" fillId="0" borderId="0" xfId="109" applyNumberFormat="1" applyFont="1" applyFill="1" applyAlignment="1">
      <alignment horizontal="right" vertical="center" indent="1"/>
      <protection/>
    </xf>
    <xf numFmtId="3" fontId="63" fillId="0" borderId="0" xfId="109" applyNumberFormat="1" applyFont="1" applyFill="1" applyBorder="1" applyAlignment="1">
      <alignment horizontal="right" vertical="center" indent="1"/>
      <protection/>
    </xf>
    <xf numFmtId="4" fontId="66" fillId="0" borderId="32" xfId="109" applyNumberFormat="1" applyFont="1" applyBorder="1" applyAlignment="1">
      <alignment horizontal="right" vertical="center" indent="1"/>
      <protection/>
    </xf>
    <xf numFmtId="4" fontId="63" fillId="0" borderId="0" xfId="109" applyNumberFormat="1" applyFont="1" applyFill="1" applyAlignment="1">
      <alignment horizontal="right" vertical="center" indent="1"/>
      <protection/>
    </xf>
    <xf numFmtId="4" fontId="63" fillId="0" borderId="0" xfId="109" applyNumberFormat="1" applyFont="1" applyFill="1" applyBorder="1" applyAlignment="1">
      <alignment horizontal="right" vertical="center" indent="1"/>
      <protection/>
    </xf>
    <xf numFmtId="4" fontId="66" fillId="0" borderId="32" xfId="109" applyNumberFormat="1" applyFont="1" applyFill="1" applyBorder="1" applyAlignment="1">
      <alignment horizontal="right" vertical="center" indent="1"/>
      <protection/>
    </xf>
    <xf numFmtId="0" fontId="45" fillId="0" borderId="0" xfId="109" applyFont="1" applyFill="1" applyBorder="1" applyAlignment="1">
      <alignment horizontal="center"/>
      <protection/>
    </xf>
    <xf numFmtId="0" fontId="45" fillId="0" borderId="0" xfId="109" applyFont="1" applyFill="1" applyAlignment="1">
      <alignment horizontal="center"/>
      <protection/>
    </xf>
    <xf numFmtId="0" fontId="44" fillId="0" borderId="0" xfId="109" applyFont="1" applyFill="1">
      <alignment/>
      <protection/>
    </xf>
    <xf numFmtId="0" fontId="65" fillId="0" borderId="0" xfId="109" applyFont="1" applyFill="1" applyBorder="1" applyAlignment="1">
      <alignment horizontal="center"/>
      <protection/>
    </xf>
    <xf numFmtId="0" fontId="65" fillId="0" borderId="33" xfId="109" applyFont="1" applyFill="1" applyBorder="1" applyAlignment="1">
      <alignment horizontal="center" wrapText="1"/>
      <protection/>
    </xf>
    <xf numFmtId="0" fontId="65" fillId="0" borderId="0" xfId="109" applyFont="1" applyFill="1" applyAlignment="1">
      <alignment horizontal="right"/>
      <protection/>
    </xf>
    <xf numFmtId="0" fontId="65" fillId="0" borderId="0" xfId="109" applyFont="1" applyFill="1" applyBorder="1" applyAlignment="1">
      <alignment vertical="center" wrapText="1"/>
      <protection/>
    </xf>
    <xf numFmtId="0" fontId="45" fillId="0" borderId="34" xfId="109" applyFont="1" applyFill="1" applyBorder="1" applyAlignment="1">
      <alignment vertical="center" wrapText="1"/>
      <protection/>
    </xf>
    <xf numFmtId="0" fontId="45" fillId="0" borderId="0" xfId="109" applyFont="1" applyFill="1" applyBorder="1" applyAlignment="1">
      <alignment vertical="center" wrapText="1"/>
      <protection/>
    </xf>
    <xf numFmtId="176" fontId="45" fillId="0" borderId="31" xfId="109" applyNumberFormat="1" applyFont="1" applyFill="1" applyBorder="1" applyAlignment="1">
      <alignment horizontal="right" vertical="center" indent="1"/>
      <protection/>
    </xf>
    <xf numFmtId="176" fontId="45" fillId="0" borderId="32" xfId="109" applyNumberFormat="1" applyFont="1" applyFill="1" applyBorder="1" applyAlignment="1">
      <alignment horizontal="right" vertical="center" indent="1"/>
      <protection/>
    </xf>
    <xf numFmtId="0" fontId="45" fillId="0" borderId="0" xfId="109" applyFont="1" applyFill="1" applyBorder="1" applyAlignment="1">
      <alignment/>
      <protection/>
    </xf>
    <xf numFmtId="176" fontId="45" fillId="0" borderId="0" xfId="109" applyNumberFormat="1" applyFont="1" applyFill="1" applyBorder="1" applyAlignment="1">
      <alignment horizontal="right"/>
      <protection/>
    </xf>
    <xf numFmtId="0" fontId="45" fillId="0" borderId="0" xfId="109" applyFont="1" applyFill="1" applyAlignment="1">
      <alignment/>
      <protection/>
    </xf>
    <xf numFmtId="0" fontId="70" fillId="0" borderId="0" xfId="109" applyFont="1" applyFill="1" applyBorder="1" applyAlignment="1">
      <alignment vertical="center" wrapText="1"/>
      <protection/>
    </xf>
    <xf numFmtId="0" fontId="44" fillId="0" borderId="32" xfId="109" applyFont="1" applyFill="1" applyBorder="1" applyAlignment="1">
      <alignment vertical="center" wrapText="1"/>
      <protection/>
    </xf>
    <xf numFmtId="0" fontId="44" fillId="0" borderId="0" xfId="109" applyFont="1" applyFill="1" applyBorder="1" applyAlignment="1">
      <alignment vertical="center" wrapText="1"/>
      <protection/>
    </xf>
    <xf numFmtId="176" fontId="44" fillId="0" borderId="32" xfId="109" applyNumberFormat="1" applyFont="1" applyFill="1" applyBorder="1" applyAlignment="1">
      <alignment horizontal="right" vertical="center" indent="1"/>
      <protection/>
    </xf>
    <xf numFmtId="0" fontId="44" fillId="0" borderId="0" xfId="109" applyFont="1" applyFill="1" applyBorder="1" applyAlignment="1">
      <alignment/>
      <protection/>
    </xf>
    <xf numFmtId="176" fontId="44" fillId="0" borderId="0" xfId="109" applyNumberFormat="1" applyFont="1" applyFill="1" applyBorder="1" applyAlignment="1">
      <alignment horizontal="right"/>
      <protection/>
    </xf>
    <xf numFmtId="0" fontId="44" fillId="0" borderId="0" xfId="109" applyFont="1" applyFill="1" applyAlignment="1">
      <alignment/>
      <protection/>
    </xf>
    <xf numFmtId="0" fontId="45" fillId="0" borderId="32" xfId="109" applyFont="1" applyFill="1" applyBorder="1" applyAlignment="1">
      <alignment vertical="center" wrapText="1"/>
      <protection/>
    </xf>
    <xf numFmtId="0" fontId="65" fillId="0" borderId="32" xfId="109" applyFont="1" applyFill="1" applyBorder="1" applyAlignment="1">
      <alignment vertical="center" wrapText="1"/>
      <protection/>
    </xf>
    <xf numFmtId="0" fontId="66" fillId="0" borderId="32" xfId="109" applyFont="1" applyBorder="1" applyAlignment="1">
      <alignment horizontal="left" vertical="center"/>
      <protection/>
    </xf>
    <xf numFmtId="0" fontId="66" fillId="0" borderId="0" xfId="109" applyFont="1" applyBorder="1" applyAlignment="1">
      <alignment horizontal="left" vertical="center"/>
      <protection/>
    </xf>
    <xf numFmtId="176" fontId="66" fillId="0" borderId="32" xfId="109" applyNumberFormat="1" applyFont="1" applyBorder="1" applyAlignment="1">
      <alignment horizontal="right" vertical="center" indent="1"/>
      <protection/>
    </xf>
    <xf numFmtId="176" fontId="63" fillId="0" borderId="0" xfId="109" applyNumberFormat="1" applyFont="1" applyFill="1" applyAlignment="1">
      <alignment horizontal="right" vertical="center" indent="1"/>
      <protection/>
    </xf>
    <xf numFmtId="176" fontId="63" fillId="0" borderId="0" xfId="109" applyNumberFormat="1" applyFont="1" applyFill="1" applyBorder="1" applyAlignment="1">
      <alignment horizontal="right" vertical="center" indent="1"/>
      <protection/>
    </xf>
    <xf numFmtId="0" fontId="44" fillId="48" borderId="32" xfId="109" applyFont="1" applyFill="1" applyBorder="1" applyAlignment="1">
      <alignment horizontal="left" vertical="center" wrapText="1" indent="2"/>
      <protection/>
    </xf>
    <xf numFmtId="0" fontId="44" fillId="48" borderId="0" xfId="109" applyFont="1" applyFill="1" applyBorder="1" applyAlignment="1">
      <alignment horizontal="left" vertical="center" wrapText="1" indent="2"/>
      <protection/>
    </xf>
    <xf numFmtId="0" fontId="44" fillId="48" borderId="0" xfId="109" applyFont="1" applyFill="1" applyBorder="1" applyAlignment="1">
      <alignment/>
      <protection/>
    </xf>
    <xf numFmtId="0" fontId="44" fillId="48" borderId="0" xfId="109" applyFont="1" applyFill="1" applyAlignment="1">
      <alignment/>
      <protection/>
    </xf>
    <xf numFmtId="0" fontId="70" fillId="0" borderId="0" xfId="109" applyFont="1" applyAlignment="1">
      <alignment horizontal="left" vertical="center"/>
      <protection/>
    </xf>
    <xf numFmtId="0" fontId="66" fillId="0" borderId="32" xfId="109" applyFont="1" applyBorder="1" applyAlignment="1">
      <alignment horizontal="left" vertical="center" wrapText="1" indent="2"/>
      <protection/>
    </xf>
    <xf numFmtId="0" fontId="66" fillId="0" borderId="0" xfId="109" applyFont="1" applyBorder="1" applyAlignment="1">
      <alignment horizontal="left" vertical="center" wrapText="1" indent="2"/>
      <protection/>
    </xf>
    <xf numFmtId="0" fontId="44" fillId="0" borderId="32" xfId="109" applyFont="1" applyFill="1" applyBorder="1" applyAlignment="1">
      <alignment horizontal="left" vertical="center" wrapText="1" indent="2"/>
      <protection/>
    </xf>
    <xf numFmtId="0" fontId="44" fillId="0" borderId="35" xfId="109" applyFont="1" applyFill="1" applyBorder="1" applyAlignment="1">
      <alignment vertical="center" wrapText="1"/>
      <protection/>
    </xf>
    <xf numFmtId="0" fontId="71" fillId="0" borderId="34" xfId="109" applyFont="1" applyFill="1" applyBorder="1" applyAlignment="1">
      <alignment vertical="center" wrapText="1"/>
      <protection/>
    </xf>
    <xf numFmtId="0" fontId="71" fillId="0" borderId="0" xfId="109" applyFont="1" applyFill="1" applyBorder="1" applyAlignment="1">
      <alignment vertical="center" wrapText="1"/>
      <protection/>
    </xf>
    <xf numFmtId="4" fontId="44" fillId="0" borderId="0" xfId="109" applyNumberFormat="1" applyFont="1" applyFill="1" applyBorder="1" applyAlignment="1">
      <alignment horizontal="right"/>
      <protection/>
    </xf>
    <xf numFmtId="0" fontId="45" fillId="0" borderId="36" xfId="109" applyFont="1" applyFill="1" applyBorder="1" applyAlignment="1">
      <alignment vertical="center"/>
      <protection/>
    </xf>
    <xf numFmtId="0" fontId="45" fillId="0" borderId="0" xfId="109" applyFont="1" applyFill="1" applyBorder="1" applyAlignment="1">
      <alignment vertical="center"/>
      <protection/>
    </xf>
    <xf numFmtId="164" fontId="44" fillId="0" borderId="37" xfId="109" applyNumberFormat="1" applyFont="1" applyFill="1" applyBorder="1" applyAlignment="1">
      <alignment horizontal="right" vertical="center" indent="1"/>
      <protection/>
    </xf>
    <xf numFmtId="0" fontId="44" fillId="0" borderId="37" xfId="109" applyFont="1" applyFill="1" applyBorder="1" applyAlignment="1">
      <alignment vertical="center" wrapText="1"/>
      <protection/>
    </xf>
    <xf numFmtId="164" fontId="44" fillId="0" borderId="0" xfId="109" applyNumberFormat="1" applyFont="1" applyFill="1" applyBorder="1" applyAlignment="1">
      <alignment horizontal="right"/>
      <protection/>
    </xf>
    <xf numFmtId="164" fontId="44" fillId="0" borderId="38" xfId="109" applyNumberFormat="1" applyFont="1" applyFill="1" applyBorder="1" applyAlignment="1">
      <alignment horizontal="right" vertical="center" indent="1"/>
      <protection/>
    </xf>
    <xf numFmtId="164" fontId="45" fillId="0" borderId="38" xfId="109" applyNumberFormat="1" applyFont="1" applyFill="1" applyBorder="1" applyAlignment="1">
      <alignment horizontal="right" vertical="center" indent="1"/>
      <protection/>
    </xf>
    <xf numFmtId="164" fontId="45" fillId="0" borderId="37" xfId="109" applyNumberFormat="1" applyFont="1" applyFill="1" applyBorder="1" applyAlignment="1">
      <alignment horizontal="right" vertical="center" indent="1"/>
      <protection/>
    </xf>
    <xf numFmtId="0" fontId="45" fillId="0" borderId="38" xfId="109" applyFont="1" applyFill="1" applyBorder="1" applyAlignment="1">
      <alignment vertical="center" wrapText="1"/>
      <protection/>
    </xf>
    <xf numFmtId="164" fontId="45" fillId="0" borderId="0" xfId="109" applyNumberFormat="1" applyFont="1" applyFill="1" applyBorder="1" applyAlignment="1">
      <alignment horizontal="right"/>
      <protection/>
    </xf>
    <xf numFmtId="9" fontId="45" fillId="0" borderId="38" xfId="115" applyFont="1" applyFill="1" applyBorder="1" applyAlignment="1">
      <alignment horizontal="right" vertical="center" indent="1"/>
    </xf>
    <xf numFmtId="9" fontId="45" fillId="0" borderId="37" xfId="115" applyFont="1" applyFill="1" applyBorder="1" applyAlignment="1">
      <alignment horizontal="right" vertical="center" indent="1"/>
    </xf>
    <xf numFmtId="9" fontId="45" fillId="0" borderId="38" xfId="115" applyFont="1" applyFill="1" applyBorder="1" applyAlignment="1">
      <alignment vertical="center" wrapText="1"/>
    </xf>
    <xf numFmtId="9" fontId="45" fillId="0" borderId="0" xfId="115" applyFont="1" applyFill="1" applyBorder="1" applyAlignment="1">
      <alignment horizontal="right"/>
    </xf>
    <xf numFmtId="9" fontId="45" fillId="0" borderId="32" xfId="115" applyFont="1" applyFill="1" applyBorder="1" applyAlignment="1">
      <alignment horizontal="right" vertical="center" indent="1"/>
    </xf>
    <xf numFmtId="9" fontId="44" fillId="0" borderId="32" xfId="115" applyFont="1" applyFill="1" applyBorder="1" applyAlignment="1">
      <alignment horizontal="right" vertical="center" indent="1"/>
    </xf>
    <xf numFmtId="9" fontId="44" fillId="0" borderId="37" xfId="115" applyFont="1" applyFill="1" applyBorder="1" applyAlignment="1">
      <alignment horizontal="right" vertical="center" indent="1"/>
    </xf>
    <xf numFmtId="9" fontId="44" fillId="0" borderId="0" xfId="115" applyFont="1" applyFill="1" applyBorder="1" applyAlignment="1">
      <alignment/>
    </xf>
    <xf numFmtId="9" fontId="44" fillId="0" borderId="0" xfId="115" applyFont="1" applyFill="1" applyBorder="1" applyAlignment="1">
      <alignment horizontal="right"/>
    </xf>
    <xf numFmtId="176" fontId="44" fillId="0" borderId="35" xfId="109" applyNumberFormat="1" applyFont="1" applyFill="1" applyBorder="1" applyAlignment="1">
      <alignment horizontal="right" vertical="center" indent="1"/>
      <protection/>
    </xf>
    <xf numFmtId="9" fontId="44" fillId="0" borderId="35" xfId="115" applyFont="1" applyFill="1" applyBorder="1" applyAlignment="1">
      <alignment horizontal="right" vertical="center" indent="1"/>
    </xf>
    <xf numFmtId="0" fontId="44" fillId="0" borderId="39" xfId="109" applyFont="1" applyFill="1" applyBorder="1" applyAlignment="1">
      <alignment/>
      <protection/>
    </xf>
    <xf numFmtId="0" fontId="45" fillId="0" borderId="37" xfId="109" applyFont="1" applyFill="1" applyBorder="1" applyAlignment="1">
      <alignment vertical="center"/>
      <protection/>
    </xf>
    <xf numFmtId="2" fontId="45" fillId="0" borderId="35" xfId="109" applyNumberFormat="1" applyFont="1" applyFill="1" applyBorder="1" applyAlignment="1">
      <alignment horizontal="right" vertical="center" indent="1"/>
      <protection/>
    </xf>
    <xf numFmtId="2" fontId="45" fillId="0" borderId="0" xfId="109" applyNumberFormat="1" applyFont="1" applyFill="1" applyBorder="1" applyAlignment="1">
      <alignment vertical="center" wrapText="1"/>
      <protection/>
    </xf>
    <xf numFmtId="2" fontId="45" fillId="0" borderId="0" xfId="109" applyNumberFormat="1" applyFont="1" applyFill="1" applyBorder="1" applyAlignment="1">
      <alignment horizontal="right"/>
      <protection/>
    </xf>
    <xf numFmtId="4" fontId="45" fillId="0" borderId="32" xfId="109" applyNumberFormat="1" applyFont="1" applyFill="1" applyBorder="1" applyAlignment="1">
      <alignment horizontal="right" vertical="center" indent="1"/>
      <protection/>
    </xf>
    <xf numFmtId="2" fontId="44" fillId="0" borderId="35" xfId="109" applyNumberFormat="1" applyFont="1" applyFill="1" applyBorder="1" applyAlignment="1">
      <alignment horizontal="right" vertical="center" indent="1"/>
      <protection/>
    </xf>
    <xf numFmtId="4" fontId="44" fillId="0" borderId="32" xfId="109" applyNumberFormat="1" applyFont="1" applyFill="1" applyBorder="1" applyAlignment="1">
      <alignment horizontal="right" vertical="center" indent="1"/>
      <protection/>
    </xf>
    <xf numFmtId="2" fontId="44" fillId="0" borderId="40" xfId="109" applyNumberFormat="1" applyFont="1" applyFill="1" applyBorder="1" applyAlignment="1">
      <alignment horizontal="right" vertical="center" indent="1"/>
      <protection/>
    </xf>
    <xf numFmtId="2" fontId="44" fillId="0" borderId="41" xfId="109" applyNumberFormat="1" applyFont="1" applyFill="1" applyBorder="1" applyAlignment="1">
      <alignment horizontal="right" vertical="center" indent="1"/>
      <protection/>
    </xf>
    <xf numFmtId="2" fontId="44" fillId="0" borderId="0" xfId="109" applyNumberFormat="1" applyFont="1" applyFill="1" applyBorder="1" applyAlignment="1">
      <alignment horizontal="right" vertical="center" indent="1"/>
      <protection/>
    </xf>
    <xf numFmtId="4" fontId="44" fillId="0" borderId="0" xfId="109" applyNumberFormat="1" applyFont="1" applyFill="1" applyBorder="1" applyAlignment="1">
      <alignment horizontal="right" vertical="center" indent="1"/>
      <protection/>
    </xf>
    <xf numFmtId="2" fontId="44" fillId="0" borderId="0" xfId="109" applyNumberFormat="1" applyFont="1" applyFill="1" applyBorder="1" applyAlignment="1">
      <alignment vertical="center" wrapText="1"/>
      <protection/>
    </xf>
    <xf numFmtId="2" fontId="44" fillId="0" borderId="0" xfId="109" applyNumberFormat="1" applyFont="1" applyFill="1" applyBorder="1" applyAlignment="1">
      <alignment horizontal="right"/>
      <protection/>
    </xf>
    <xf numFmtId="2" fontId="62" fillId="0" borderId="0" xfId="109" applyNumberFormat="1" applyFont="1" applyFill="1" applyBorder="1" applyAlignment="1">
      <alignment horizontal="right" vertical="center" indent="1"/>
      <protection/>
    </xf>
    <xf numFmtId="176" fontId="66" fillId="0" borderId="32" xfId="109" applyNumberFormat="1" applyFont="1" applyFill="1" applyBorder="1" applyAlignment="1">
      <alignment horizontal="right" vertical="center" indent="1"/>
      <protection/>
    </xf>
    <xf numFmtId="0" fontId="65" fillId="0" borderId="32" xfId="109" applyFont="1" applyBorder="1" applyAlignment="1">
      <alignment vertical="center" wrapText="1"/>
      <protection/>
    </xf>
    <xf numFmtId="0" fontId="65" fillId="0" borderId="0" xfId="109" applyFont="1" applyBorder="1" applyAlignment="1">
      <alignment vertical="center" wrapText="1"/>
      <protection/>
    </xf>
    <xf numFmtId="176" fontId="72" fillId="0" borderId="32" xfId="109" applyNumberFormat="1" applyFont="1" applyBorder="1" applyAlignment="1">
      <alignment horizontal="right" vertical="center" indent="1"/>
      <protection/>
    </xf>
    <xf numFmtId="176" fontId="62" fillId="0" borderId="0" xfId="109" applyNumberFormat="1" applyFont="1" applyFill="1" applyBorder="1" applyAlignment="1">
      <alignment horizontal="right" vertical="center" indent="1"/>
      <protection/>
    </xf>
    <xf numFmtId="0" fontId="65" fillId="0" borderId="37" xfId="109" applyFont="1" applyBorder="1" applyAlignment="1">
      <alignment vertical="center" wrapText="1"/>
      <protection/>
    </xf>
    <xf numFmtId="0" fontId="65" fillId="0" borderId="0" xfId="109" applyFont="1" applyAlignment="1">
      <alignment vertical="center" wrapText="1"/>
      <protection/>
    </xf>
    <xf numFmtId="0" fontId="69" fillId="0" borderId="0" xfId="109" applyFont="1" applyFill="1">
      <alignment/>
      <protection/>
    </xf>
    <xf numFmtId="0" fontId="44" fillId="0" borderId="0" xfId="109" applyFont="1" applyFill="1" applyBorder="1">
      <alignment/>
      <protection/>
    </xf>
    <xf numFmtId="3" fontId="45" fillId="48" borderId="23" xfId="109" applyNumberFormat="1" applyFont="1" applyFill="1" applyBorder="1" applyAlignment="1">
      <alignment vertical="center"/>
      <protection/>
    </xf>
    <xf numFmtId="3" fontId="44" fillId="48" borderId="26" xfId="109" applyNumberFormat="1" applyFont="1" applyFill="1" applyBorder="1" applyAlignment="1">
      <alignment horizontal="right" vertical="center"/>
      <protection/>
    </xf>
    <xf numFmtId="0" fontId="65" fillId="0" borderId="0" xfId="0" applyFont="1" applyFill="1" applyBorder="1" applyAlignment="1">
      <alignment vertical="center" wrapText="1"/>
    </xf>
    <xf numFmtId="0" fontId="65" fillId="0" borderId="18" xfId="0" applyFont="1" applyFill="1" applyBorder="1" applyAlignment="1">
      <alignment vertical="center" wrapText="1"/>
    </xf>
    <xf numFmtId="3" fontId="66" fillId="0" borderId="42" xfId="109" applyNumberFormat="1" applyFont="1" applyBorder="1" applyAlignment="1">
      <alignment horizontal="right" vertical="center" indent="1"/>
      <protection/>
    </xf>
    <xf numFmtId="4" fontId="66" fillId="0" borderId="42" xfId="109" applyNumberFormat="1" applyFont="1" applyBorder="1" applyAlignment="1">
      <alignment horizontal="right" vertical="center" indent="1"/>
      <protection/>
    </xf>
    <xf numFmtId="0" fontId="45" fillId="0" borderId="43" xfId="109" applyFont="1" applyFill="1" applyBorder="1" applyAlignment="1">
      <alignment horizontal="center"/>
      <protection/>
    </xf>
    <xf numFmtId="0" fontId="65" fillId="0" borderId="44" xfId="109" applyFont="1" applyFill="1" applyBorder="1" applyAlignment="1">
      <alignment horizontal="center" wrapText="1"/>
      <protection/>
    </xf>
    <xf numFmtId="176" fontId="45" fillId="0" borderId="45" xfId="109" applyNumberFormat="1" applyFont="1" applyFill="1" applyBorder="1" applyAlignment="1">
      <alignment horizontal="right" vertical="center" indent="1"/>
      <protection/>
    </xf>
    <xf numFmtId="176" fontId="44" fillId="0" borderId="42" xfId="109" applyNumberFormat="1" applyFont="1" applyFill="1" applyBorder="1" applyAlignment="1">
      <alignment horizontal="right" vertical="center" indent="1"/>
      <protection/>
    </xf>
    <xf numFmtId="176" fontId="45" fillId="0" borderId="42" xfId="109" applyNumberFormat="1" applyFont="1" applyFill="1" applyBorder="1" applyAlignment="1">
      <alignment horizontal="right" vertical="center" indent="1"/>
      <protection/>
    </xf>
    <xf numFmtId="176" fontId="66" fillId="0" borderId="42" xfId="109" applyNumberFormat="1" applyFont="1" applyBorder="1" applyAlignment="1">
      <alignment horizontal="right" vertical="center" indent="1"/>
      <protection/>
    </xf>
    <xf numFmtId="4" fontId="44" fillId="0" borderId="43" xfId="109" applyNumberFormat="1" applyFont="1" applyFill="1" applyBorder="1" applyAlignment="1">
      <alignment horizontal="right"/>
      <protection/>
    </xf>
    <xf numFmtId="164" fontId="44" fillId="0" borderId="46" xfId="109" applyNumberFormat="1" applyFont="1" applyFill="1" applyBorder="1" applyAlignment="1">
      <alignment horizontal="right" vertical="center" indent="1"/>
      <protection/>
    </xf>
    <xf numFmtId="164" fontId="45" fillId="0" borderId="47" xfId="109" applyNumberFormat="1" applyFont="1" applyFill="1" applyBorder="1" applyAlignment="1">
      <alignment horizontal="right" vertical="center" indent="1"/>
      <protection/>
    </xf>
    <xf numFmtId="9" fontId="45" fillId="0" borderId="47" xfId="115" applyFont="1" applyFill="1" applyBorder="1" applyAlignment="1">
      <alignment horizontal="right" vertical="center" indent="1"/>
    </xf>
    <xf numFmtId="9" fontId="44" fillId="0" borderId="42" xfId="115" applyFont="1" applyFill="1" applyBorder="1" applyAlignment="1">
      <alignment horizontal="right" vertical="center" indent="1"/>
    </xf>
    <xf numFmtId="176" fontId="44" fillId="0" borderId="48" xfId="109" applyNumberFormat="1" applyFont="1" applyFill="1" applyBorder="1" applyAlignment="1">
      <alignment horizontal="right" vertical="center" indent="1"/>
      <protection/>
    </xf>
    <xf numFmtId="2" fontId="45" fillId="0" borderId="48" xfId="109" applyNumberFormat="1" applyFont="1" applyFill="1" applyBorder="1" applyAlignment="1">
      <alignment horizontal="right" vertical="center" indent="1"/>
      <protection/>
    </xf>
    <xf numFmtId="2" fontId="44" fillId="0" borderId="48" xfId="109" applyNumberFormat="1" applyFont="1" applyFill="1" applyBorder="1" applyAlignment="1">
      <alignment horizontal="right" vertical="center" indent="1"/>
      <protection/>
    </xf>
    <xf numFmtId="2" fontId="44" fillId="0" borderId="49" xfId="109" applyNumberFormat="1" applyFont="1" applyFill="1" applyBorder="1" applyAlignment="1">
      <alignment horizontal="right" vertical="center" indent="1"/>
      <protection/>
    </xf>
    <xf numFmtId="2" fontId="44" fillId="0" borderId="50" xfId="109" applyNumberFormat="1" applyFont="1" applyFill="1" applyBorder="1" applyAlignment="1">
      <alignment horizontal="right" vertical="center" indent="1"/>
      <protection/>
    </xf>
    <xf numFmtId="2" fontId="44" fillId="0" borderId="43" xfId="109" applyNumberFormat="1" applyFont="1" applyFill="1" applyBorder="1" applyAlignment="1">
      <alignment horizontal="right" vertical="center" indent="1"/>
      <protection/>
    </xf>
    <xf numFmtId="0" fontId="45" fillId="0" borderId="45" xfId="109" applyFont="1" applyFill="1" applyBorder="1" applyAlignment="1">
      <alignment horizontal="center" wrapText="1"/>
      <protection/>
    </xf>
    <xf numFmtId="176" fontId="72" fillId="0" borderId="42" xfId="109" applyNumberFormat="1" applyFont="1" applyBorder="1" applyAlignment="1">
      <alignment horizontal="right" vertical="center" indent="1"/>
      <protection/>
    </xf>
    <xf numFmtId="0" fontId="65" fillId="0" borderId="45" xfId="109" applyFont="1" applyFill="1" applyBorder="1" applyAlignment="1">
      <alignment horizontal="center" wrapText="1"/>
      <protection/>
    </xf>
    <xf numFmtId="164" fontId="44" fillId="0" borderId="47" xfId="109" applyNumberFormat="1" applyFont="1" applyFill="1" applyBorder="1" applyAlignment="1">
      <alignment horizontal="right" vertical="center" indent="1"/>
      <protection/>
    </xf>
    <xf numFmtId="9" fontId="45" fillId="0" borderId="42" xfId="115" applyFont="1" applyFill="1" applyBorder="1" applyAlignment="1">
      <alignment horizontal="right" vertical="center" indent="1"/>
    </xf>
    <xf numFmtId="4" fontId="45" fillId="0" borderId="42" xfId="109" applyNumberFormat="1" applyFont="1" applyFill="1" applyBorder="1" applyAlignment="1">
      <alignment horizontal="right" vertical="center" indent="1"/>
      <protection/>
    </xf>
    <xf numFmtId="4" fontId="44" fillId="0" borderId="42" xfId="109" applyNumberFormat="1" applyFont="1" applyFill="1" applyBorder="1" applyAlignment="1">
      <alignment horizontal="right" vertical="center" indent="1"/>
      <protection/>
    </xf>
    <xf numFmtId="4" fontId="44" fillId="0" borderId="43" xfId="109" applyNumberFormat="1" applyFont="1" applyFill="1" applyBorder="1" applyAlignment="1">
      <alignment horizontal="right" vertical="center" indent="1"/>
      <protection/>
    </xf>
    <xf numFmtId="2" fontId="44" fillId="0" borderId="43" xfId="109" applyNumberFormat="1" applyFont="1" applyFill="1" applyBorder="1" applyAlignment="1">
      <alignment horizontal="right"/>
      <protection/>
    </xf>
    <xf numFmtId="0" fontId="69" fillId="48" borderId="0" xfId="0" applyFont="1" applyFill="1" applyBorder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Fill="1" applyBorder="1" applyAlignment="1">
      <alignment/>
    </xf>
    <xf numFmtId="0" fontId="73" fillId="0" borderId="0" xfId="0" applyFont="1" applyFill="1" applyBorder="1" applyAlignment="1">
      <alignment vertical="center" wrapText="1"/>
    </xf>
    <xf numFmtId="0" fontId="65" fillId="48" borderId="26" xfId="0" applyFont="1" applyFill="1" applyBorder="1" applyAlignment="1">
      <alignment horizontal="center" wrapText="1"/>
    </xf>
    <xf numFmtId="0" fontId="74" fillId="0" borderId="0" xfId="0" applyFont="1" applyFill="1" applyBorder="1" applyAlignment="1">
      <alignment/>
    </xf>
    <xf numFmtId="0" fontId="74" fillId="0" borderId="28" xfId="0" applyFont="1" applyFill="1" applyBorder="1" applyAlignment="1">
      <alignment/>
    </xf>
    <xf numFmtId="174" fontId="44" fillId="0" borderId="20" xfId="0" applyNumberFormat="1" applyFont="1" applyFill="1" applyBorder="1" applyAlignment="1">
      <alignment horizontal="right" vertical="center" indent="1"/>
    </xf>
    <xf numFmtId="174" fontId="73" fillId="48" borderId="0" xfId="0" applyNumberFormat="1" applyFont="1" applyFill="1" applyBorder="1" applyAlignment="1">
      <alignment horizontal="center" wrapText="1"/>
    </xf>
    <xf numFmtId="174" fontId="73" fillId="0" borderId="20" xfId="0" applyNumberFormat="1" applyFont="1" applyFill="1" applyBorder="1" applyAlignment="1">
      <alignment horizontal="center" wrapText="1"/>
    </xf>
    <xf numFmtId="174" fontId="73" fillId="0" borderId="0" xfId="0" applyNumberFormat="1" applyFont="1" applyFill="1" applyBorder="1" applyAlignment="1">
      <alignment horizontal="center" wrapText="1"/>
    </xf>
    <xf numFmtId="174" fontId="73" fillId="0" borderId="18" xfId="0" applyNumberFormat="1" applyFont="1" applyFill="1" applyBorder="1" applyAlignment="1">
      <alignment horizontal="center" wrapText="1"/>
    </xf>
    <xf numFmtId="174" fontId="44" fillId="0" borderId="18" xfId="0" applyNumberFormat="1" applyFont="1" applyFill="1" applyBorder="1" applyAlignment="1">
      <alignment horizontal="right" vertical="center" indent="1"/>
    </xf>
    <xf numFmtId="174" fontId="73" fillId="0" borderId="51" xfId="0" applyNumberFormat="1" applyFont="1" applyFill="1" applyBorder="1" applyAlignment="1">
      <alignment horizontal="center" wrapText="1"/>
    </xf>
    <xf numFmtId="176" fontId="44" fillId="0" borderId="52" xfId="0" applyNumberFormat="1" applyFont="1" applyFill="1" applyBorder="1" applyAlignment="1">
      <alignment horizontal="right" vertical="center" indent="1"/>
    </xf>
    <xf numFmtId="0" fontId="69" fillId="0" borderId="18" xfId="0" applyFont="1" applyFill="1" applyBorder="1" applyAlignment="1">
      <alignment horizontal="left" vertical="center" wrapText="1" indent="2"/>
    </xf>
    <xf numFmtId="0" fontId="69" fillId="0" borderId="0" xfId="0" applyFont="1" applyFill="1" applyBorder="1" applyAlignment="1">
      <alignment horizontal="left" vertical="center" wrapText="1" indent="2"/>
    </xf>
    <xf numFmtId="174" fontId="69" fillId="48" borderId="0" xfId="0" applyNumberFormat="1" applyFont="1" applyFill="1" applyBorder="1" applyAlignment="1">
      <alignment horizontal="right"/>
    </xf>
    <xf numFmtId="174" fontId="69" fillId="0" borderId="20" xfId="0" applyNumberFormat="1" applyFont="1" applyFill="1" applyBorder="1" applyAlignment="1">
      <alignment horizontal="right" vertical="center" indent="1"/>
    </xf>
    <xf numFmtId="174" fontId="69" fillId="0" borderId="0" xfId="0" applyNumberFormat="1" applyFont="1" applyFill="1" applyBorder="1" applyAlignment="1">
      <alignment horizontal="right" vertical="center" indent="1"/>
    </xf>
    <xf numFmtId="174" fontId="69" fillId="0" borderId="18" xfId="0" applyNumberFormat="1" applyFont="1" applyFill="1" applyBorder="1" applyAlignment="1">
      <alignment horizontal="right" vertical="center" indent="1"/>
    </xf>
    <xf numFmtId="174" fontId="69" fillId="0" borderId="51" xfId="0" applyNumberFormat="1" applyFont="1" applyFill="1" applyBorder="1" applyAlignment="1">
      <alignment horizontal="right" vertical="center" indent="1"/>
    </xf>
    <xf numFmtId="0" fontId="74" fillId="0" borderId="0" xfId="0" applyFont="1" applyFill="1" applyAlignment="1">
      <alignment/>
    </xf>
    <xf numFmtId="0" fontId="69" fillId="0" borderId="18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vertical="center" wrapText="1"/>
    </xf>
    <xf numFmtId="174" fontId="73" fillId="0" borderId="20" xfId="0" applyNumberFormat="1" applyFont="1" applyFill="1" applyBorder="1" applyAlignment="1">
      <alignment horizontal="right" vertical="center" indent="1"/>
    </xf>
    <xf numFmtId="174" fontId="73" fillId="48" borderId="0" xfId="0" applyNumberFormat="1" applyFont="1" applyFill="1" applyBorder="1" applyAlignment="1">
      <alignment horizontal="right"/>
    </xf>
    <xf numFmtId="174" fontId="73" fillId="0" borderId="0" xfId="0" applyNumberFormat="1" applyFont="1" applyFill="1" applyBorder="1" applyAlignment="1">
      <alignment horizontal="right" vertical="center" indent="1"/>
    </xf>
    <xf numFmtId="174" fontId="73" fillId="0" borderId="18" xfId="0" applyNumberFormat="1" applyFont="1" applyFill="1" applyBorder="1" applyAlignment="1">
      <alignment horizontal="right" vertical="center" indent="1"/>
    </xf>
    <xf numFmtId="174" fontId="45" fillId="0" borderId="18" xfId="0" applyNumberFormat="1" applyFont="1" applyFill="1" applyBorder="1" applyAlignment="1">
      <alignment horizontal="right" vertical="center" indent="1"/>
    </xf>
    <xf numFmtId="174" fontId="73" fillId="0" borderId="51" xfId="0" applyNumberFormat="1" applyFont="1" applyFill="1" applyBorder="1" applyAlignment="1">
      <alignment horizontal="right" vertical="center" indent="1"/>
    </xf>
    <xf numFmtId="176" fontId="45" fillId="0" borderId="52" xfId="0" applyNumberFormat="1" applyFont="1" applyFill="1" applyBorder="1" applyAlignment="1">
      <alignment horizontal="right" vertical="center" indent="1"/>
    </xf>
    <xf numFmtId="0" fontId="75" fillId="0" borderId="0" xfId="0" applyFont="1" applyFill="1" applyBorder="1" applyAlignment="1">
      <alignment/>
    </xf>
    <xf numFmtId="0" fontId="75" fillId="0" borderId="28" xfId="0" applyFont="1" applyFill="1" applyBorder="1" applyAlignment="1">
      <alignment/>
    </xf>
    <xf numFmtId="174" fontId="45" fillId="0" borderId="43" xfId="0" applyNumberFormat="1" applyFont="1" applyFill="1" applyBorder="1" applyAlignment="1">
      <alignment horizontal="right" vertical="center" indent="1"/>
    </xf>
    <xf numFmtId="174" fontId="73" fillId="0" borderId="43" xfId="0" applyNumberFormat="1" applyFont="1" applyFill="1" applyBorder="1" applyAlignment="1">
      <alignment horizontal="right" vertical="center" indent="1"/>
    </xf>
    <xf numFmtId="0" fontId="76" fillId="0" borderId="0" xfId="0" applyFont="1" applyFill="1" applyBorder="1" applyAlignment="1">
      <alignment/>
    </xf>
    <xf numFmtId="174" fontId="45" fillId="0" borderId="20" xfId="0" applyNumberFormat="1" applyFont="1" applyFill="1" applyBorder="1" applyAlignment="1">
      <alignment horizontal="right" vertical="center" indent="1"/>
    </xf>
    <xf numFmtId="174" fontId="73" fillId="48" borderId="0" xfId="0" applyNumberFormat="1" applyFont="1" applyFill="1" applyBorder="1" applyAlignment="1">
      <alignment horizontal="right" vertical="top"/>
    </xf>
    <xf numFmtId="174" fontId="69" fillId="48" borderId="0" xfId="0" applyNumberFormat="1" applyFont="1" applyFill="1" applyBorder="1" applyAlignment="1">
      <alignment/>
    </xf>
    <xf numFmtId="0" fontId="69" fillId="0" borderId="0" xfId="0" applyFont="1" applyFill="1" applyAlignment="1">
      <alignment vertical="center" wrapText="1"/>
    </xf>
    <xf numFmtId="176" fontId="44" fillId="0" borderId="0" xfId="0" applyNumberFormat="1" applyFont="1" applyFill="1" applyAlignment="1">
      <alignment/>
    </xf>
    <xf numFmtId="176" fontId="69" fillId="48" borderId="0" xfId="0" applyNumberFormat="1" applyFont="1" applyFill="1" applyBorder="1" applyAlignment="1">
      <alignment/>
    </xf>
    <xf numFmtId="176" fontId="69" fillId="0" borderId="0" xfId="0" applyNumberFormat="1" applyFont="1" applyFill="1" applyAlignment="1">
      <alignment/>
    </xf>
    <xf numFmtId="176" fontId="69" fillId="0" borderId="0" xfId="0" applyNumberFormat="1" applyFont="1" applyFill="1" applyBorder="1" applyAlignment="1">
      <alignment/>
    </xf>
    <xf numFmtId="176" fontId="44" fillId="0" borderId="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7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5" fillId="0" borderId="0" xfId="0" applyFont="1" applyBorder="1" applyAlignment="1">
      <alignment/>
    </xf>
    <xf numFmtId="0" fontId="45" fillId="0" borderId="31" xfId="0" applyFont="1" applyFill="1" applyBorder="1" applyAlignment="1">
      <alignment horizontal="center" wrapText="1"/>
    </xf>
    <xf numFmtId="0" fontId="65" fillId="0" borderId="31" xfId="0" applyFont="1" applyFill="1" applyBorder="1" applyAlignment="1">
      <alignment horizontal="center" wrapText="1"/>
    </xf>
    <xf numFmtId="0" fontId="45" fillId="0" borderId="0" xfId="0" applyFont="1" applyFill="1" applyAlignment="1">
      <alignment horizontal="right"/>
    </xf>
    <xf numFmtId="0" fontId="65" fillId="0" borderId="0" xfId="0" applyFont="1" applyFill="1" applyBorder="1" applyAlignment="1">
      <alignment horizontal="center" wrapText="1"/>
    </xf>
    <xf numFmtId="0" fontId="65" fillId="0" borderId="0" xfId="0" applyFont="1" applyFill="1" applyBorder="1" applyAlignment="1">
      <alignment horizontal="center" vertical="center"/>
    </xf>
    <xf numFmtId="0" fontId="69" fillId="0" borderId="0" xfId="0" applyFont="1" applyAlignment="1">
      <alignment/>
    </xf>
    <xf numFmtId="0" fontId="66" fillId="0" borderId="32" xfId="0" applyFont="1" applyBorder="1" applyAlignment="1">
      <alignment vertical="center" wrapText="1"/>
    </xf>
    <xf numFmtId="0" fontId="66" fillId="0" borderId="0" xfId="0" applyFont="1" applyBorder="1" applyAlignment="1">
      <alignment vertical="center" wrapText="1"/>
    </xf>
    <xf numFmtId="3" fontId="66" fillId="0" borderId="53" xfId="0" applyNumberFormat="1" applyFont="1" applyBorder="1" applyAlignment="1">
      <alignment horizontal="right" vertical="center" indent="1"/>
    </xf>
    <xf numFmtId="3" fontId="66" fillId="0" borderId="32" xfId="0" applyNumberFormat="1" applyFont="1" applyBorder="1" applyAlignment="1">
      <alignment horizontal="right" vertical="center" indent="1"/>
    </xf>
    <xf numFmtId="3" fontId="63" fillId="0" borderId="0" xfId="0" applyNumberFormat="1" applyFont="1" applyFill="1" applyAlignment="1">
      <alignment horizontal="right" vertical="center" indent="1"/>
    </xf>
    <xf numFmtId="3" fontId="63" fillId="0" borderId="0" xfId="0" applyNumberFormat="1" applyFont="1" applyFill="1" applyBorder="1" applyAlignment="1">
      <alignment horizontal="right" vertical="center" indent="1"/>
    </xf>
    <xf numFmtId="3" fontId="44" fillId="0" borderId="32" xfId="0" applyNumberFormat="1" applyFont="1" applyFill="1" applyBorder="1" applyAlignment="1">
      <alignment horizontal="right" vertical="center" indent="1"/>
    </xf>
    <xf numFmtId="176" fontId="63" fillId="0" borderId="0" xfId="0" applyNumberFormat="1" applyFont="1" applyFill="1" applyAlignment="1">
      <alignment horizontal="right" vertical="center" indent="1"/>
    </xf>
    <xf numFmtId="4" fontId="66" fillId="0" borderId="53" xfId="0" applyNumberFormat="1" applyFont="1" applyBorder="1" applyAlignment="1">
      <alignment horizontal="right" vertical="center" indent="1"/>
    </xf>
    <xf numFmtId="4" fontId="66" fillId="0" borderId="32" xfId="0" applyNumberFormat="1" applyFont="1" applyBorder="1" applyAlignment="1">
      <alignment horizontal="right" vertical="center" indent="1"/>
    </xf>
    <xf numFmtId="4" fontId="63" fillId="0" borderId="0" xfId="0" applyNumberFormat="1" applyFont="1" applyFill="1" applyAlignment="1">
      <alignment horizontal="right" vertical="center" indent="1"/>
    </xf>
    <xf numFmtId="4" fontId="63" fillId="0" borderId="0" xfId="0" applyNumberFormat="1" applyFont="1" applyFill="1" applyBorder="1" applyAlignment="1">
      <alignment horizontal="right" vertical="center" indent="1"/>
    </xf>
    <xf numFmtId="4" fontId="44" fillId="0" borderId="32" xfId="0" applyNumberFormat="1" applyFont="1" applyFill="1" applyBorder="1" applyAlignment="1">
      <alignment horizontal="right" vertical="center" indent="1"/>
    </xf>
    <xf numFmtId="4" fontId="63" fillId="47" borderId="17" xfId="0" applyNumberFormat="1" applyFont="1" applyFill="1" applyBorder="1" applyAlignment="1">
      <alignment horizontal="right" vertical="center" indent="1"/>
    </xf>
    <xf numFmtId="4" fontId="66" fillId="48" borderId="32" xfId="0" applyNumberFormat="1" applyFont="1" applyFill="1" applyBorder="1" applyAlignment="1">
      <alignment horizontal="right" vertical="center" indent="1"/>
    </xf>
    <xf numFmtId="0" fontId="45" fillId="0" borderId="0" xfId="0" applyFont="1" applyFill="1" applyBorder="1" applyAlignment="1">
      <alignment horizontal="center"/>
    </xf>
    <xf numFmtId="0" fontId="44" fillId="0" borderId="54" xfId="0" applyFont="1" applyFill="1" applyBorder="1" applyAlignment="1">
      <alignment/>
    </xf>
    <xf numFmtId="0" fontId="44" fillId="0" borderId="54" xfId="0" applyFont="1" applyFill="1" applyBorder="1" applyAlignment="1">
      <alignment/>
    </xf>
    <xf numFmtId="0" fontId="65" fillId="0" borderId="0" xfId="0" applyFont="1" applyFill="1" applyBorder="1" applyAlignment="1">
      <alignment vertical="center"/>
    </xf>
    <xf numFmtId="0" fontId="45" fillId="0" borderId="54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right" vertical="center"/>
    </xf>
    <xf numFmtId="0" fontId="45" fillId="0" borderId="54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176" fontId="45" fillId="0" borderId="55" xfId="0" applyNumberFormat="1" applyFont="1" applyFill="1" applyBorder="1" applyAlignment="1">
      <alignment horizontal="right" vertical="center" indent="1"/>
    </xf>
    <xf numFmtId="176" fontId="45" fillId="0" borderId="37" xfId="0" applyNumberFormat="1" applyFont="1" applyFill="1" applyBorder="1" applyAlignment="1">
      <alignment horizontal="right" vertical="center" indent="1"/>
    </xf>
    <xf numFmtId="176" fontId="45" fillId="0" borderId="0" xfId="0" applyNumberFormat="1" applyFont="1" applyFill="1" applyBorder="1" applyAlignment="1">
      <alignment horizontal="right"/>
    </xf>
    <xf numFmtId="176" fontId="45" fillId="0" borderId="32" xfId="0" applyNumberFormat="1" applyFont="1" applyFill="1" applyBorder="1" applyAlignment="1">
      <alignment horizontal="right" vertical="center" indent="1"/>
    </xf>
    <xf numFmtId="0" fontId="45" fillId="0" borderId="0" xfId="0" applyFont="1" applyFill="1" applyAlignment="1">
      <alignment/>
    </xf>
    <xf numFmtId="0" fontId="44" fillId="0" borderId="38" xfId="0" applyFont="1" applyFill="1" applyBorder="1" applyAlignment="1">
      <alignment horizontal="left" vertical="center" wrapText="1" indent="2"/>
    </xf>
    <xf numFmtId="176" fontId="44" fillId="0" borderId="56" xfId="0" applyNumberFormat="1" applyFont="1" applyFill="1" applyBorder="1" applyAlignment="1">
      <alignment horizontal="right" vertical="center" indent="1"/>
    </xf>
    <xf numFmtId="176" fontId="44" fillId="0" borderId="57" xfId="0" applyNumberFormat="1" applyFont="1" applyFill="1" applyBorder="1" applyAlignment="1">
      <alignment horizontal="right" vertical="center" indent="1"/>
    </xf>
    <xf numFmtId="176" fontId="44" fillId="0" borderId="0" xfId="0" applyNumberFormat="1" applyFont="1" applyFill="1" applyBorder="1" applyAlignment="1">
      <alignment horizontal="right"/>
    </xf>
    <xf numFmtId="176" fontId="44" fillId="0" borderId="32" xfId="0" applyNumberFormat="1" applyFont="1" applyFill="1" applyBorder="1" applyAlignment="1">
      <alignment horizontal="right" vertical="center" indent="1"/>
    </xf>
    <xf numFmtId="176" fontId="63" fillId="47" borderId="58" xfId="0" applyNumberFormat="1" applyFont="1" applyFill="1" applyBorder="1" applyAlignment="1">
      <alignment horizontal="right" vertical="center" indent="1"/>
    </xf>
    <xf numFmtId="0" fontId="45" fillId="0" borderId="37" xfId="0" applyFont="1" applyFill="1" applyBorder="1" applyAlignment="1">
      <alignment vertical="center" wrapText="1"/>
    </xf>
    <xf numFmtId="176" fontId="45" fillId="0" borderId="56" xfId="0" applyNumberFormat="1" applyFont="1" applyFill="1" applyBorder="1" applyAlignment="1">
      <alignment horizontal="right" vertical="center" indent="1"/>
    </xf>
    <xf numFmtId="176" fontId="45" fillId="0" borderId="57" xfId="0" applyNumberFormat="1" applyFont="1" applyFill="1" applyBorder="1" applyAlignment="1">
      <alignment horizontal="right" vertical="center" indent="1"/>
    </xf>
    <xf numFmtId="176" fontId="62" fillId="47" borderId="58" xfId="0" applyNumberFormat="1" applyFont="1" applyFill="1" applyBorder="1" applyAlignment="1">
      <alignment horizontal="right" vertical="center" indent="1"/>
    </xf>
    <xf numFmtId="0" fontId="65" fillId="0" borderId="37" xfId="0" applyFont="1" applyFill="1" applyBorder="1" applyAlignment="1">
      <alignment vertical="center" wrapText="1"/>
    </xf>
    <xf numFmtId="0" fontId="44" fillId="0" borderId="37" xfId="0" applyFont="1" applyFill="1" applyBorder="1" applyAlignment="1">
      <alignment vertical="center" wrapText="1"/>
    </xf>
    <xf numFmtId="176" fontId="44" fillId="0" borderId="55" xfId="0" applyNumberFormat="1" applyFont="1" applyFill="1" applyBorder="1" applyAlignment="1">
      <alignment horizontal="right" vertical="center" indent="1"/>
    </xf>
    <xf numFmtId="176" fontId="44" fillId="0" borderId="37" xfId="0" applyNumberFormat="1" applyFont="1" applyFill="1" applyBorder="1" applyAlignment="1">
      <alignment horizontal="right" vertical="center" indent="1"/>
    </xf>
    <xf numFmtId="176" fontId="45" fillId="0" borderId="54" xfId="0" applyNumberFormat="1" applyFont="1" applyFill="1" applyBorder="1" applyAlignment="1">
      <alignment horizontal="right" vertical="center" indent="1"/>
    </xf>
    <xf numFmtId="176" fontId="45" fillId="0" borderId="0" xfId="0" applyNumberFormat="1" applyFont="1" applyFill="1" applyBorder="1" applyAlignment="1">
      <alignment horizontal="right" vertical="center" indent="1"/>
    </xf>
    <xf numFmtId="176" fontId="44" fillId="0" borderId="54" xfId="0" applyNumberFormat="1" applyFont="1" applyFill="1" applyBorder="1" applyAlignment="1" quotePrefix="1">
      <alignment horizontal="right" vertical="center" indent="1"/>
    </xf>
    <xf numFmtId="176" fontId="44" fillId="0" borderId="0" xfId="0" applyNumberFormat="1" applyFont="1" applyFill="1" applyBorder="1" applyAlignment="1" quotePrefix="1">
      <alignment horizontal="right" vertical="center" indent="1"/>
    </xf>
    <xf numFmtId="176" fontId="44" fillId="0" borderId="0" xfId="0" applyNumberFormat="1" applyFont="1" applyFill="1" applyBorder="1" applyAlignment="1">
      <alignment horizontal="right" vertical="center" indent="1"/>
    </xf>
    <xf numFmtId="176" fontId="44" fillId="0" borderId="54" xfId="0" applyNumberFormat="1" applyFont="1" applyFill="1" applyBorder="1" applyAlignment="1">
      <alignment horizontal="right" vertical="center" indent="1"/>
    </xf>
    <xf numFmtId="176" fontId="44" fillId="48" borderId="55" xfId="0" applyNumberFormat="1" applyFont="1" applyFill="1" applyBorder="1" applyAlignment="1" quotePrefix="1">
      <alignment horizontal="right" vertical="center" indent="1"/>
    </xf>
    <xf numFmtId="176" fontId="44" fillId="48" borderId="37" xfId="0" applyNumberFormat="1" applyFont="1" applyFill="1" applyBorder="1" applyAlignment="1" quotePrefix="1">
      <alignment horizontal="right" vertical="center" indent="1"/>
    </xf>
    <xf numFmtId="176" fontId="44" fillId="48" borderId="37" xfId="0" applyNumberFormat="1" applyFont="1" applyFill="1" applyBorder="1" applyAlignment="1">
      <alignment horizontal="right" vertical="center" indent="1"/>
    </xf>
    <xf numFmtId="176" fontId="44" fillId="0" borderId="55" xfId="0" applyNumberFormat="1" applyFont="1" applyFill="1" applyBorder="1" applyAlignment="1" quotePrefix="1">
      <alignment horizontal="right" vertical="center" indent="1"/>
    </xf>
    <xf numFmtId="176" fontId="44" fillId="0" borderId="37" xfId="0" applyNumberFormat="1" applyFont="1" applyFill="1" applyBorder="1" applyAlignment="1" quotePrefix="1">
      <alignment horizontal="right" vertical="center" indent="1"/>
    </xf>
    <xf numFmtId="0" fontId="71" fillId="0" borderId="57" xfId="0" applyFont="1" applyFill="1" applyBorder="1" applyAlignment="1">
      <alignment vertical="center" wrapText="1"/>
    </xf>
    <xf numFmtId="0" fontId="71" fillId="0" borderId="0" xfId="0" applyFont="1" applyFill="1" applyBorder="1" applyAlignment="1">
      <alignment vertical="center" wrapText="1"/>
    </xf>
    <xf numFmtId="164" fontId="44" fillId="0" borderId="54" xfId="0" applyNumberFormat="1" applyFont="1" applyFill="1" applyBorder="1" applyAlignment="1">
      <alignment horizontal="right" vertical="center" indent="1"/>
    </xf>
    <xf numFmtId="164" fontId="44" fillId="0" borderId="0" xfId="0" applyNumberFormat="1" applyFont="1" applyFill="1" applyBorder="1" applyAlignment="1">
      <alignment horizontal="right" vertical="center" indent="1"/>
    </xf>
    <xf numFmtId="164" fontId="44" fillId="0" borderId="0" xfId="0" applyNumberFormat="1" applyFont="1" applyFill="1" applyBorder="1" applyAlignment="1">
      <alignment horizontal="right"/>
    </xf>
    <xf numFmtId="164" fontId="44" fillId="0" borderId="54" xfId="0" applyNumberFormat="1" applyFont="1" applyFill="1" applyBorder="1" applyAlignment="1">
      <alignment horizontal="right"/>
    </xf>
    <xf numFmtId="164" fontId="63" fillId="48" borderId="0" xfId="0" applyNumberFormat="1" applyFont="1" applyFill="1" applyBorder="1" applyAlignment="1">
      <alignment horizontal="right" vertical="center" indent="1"/>
    </xf>
    <xf numFmtId="0" fontId="45" fillId="0" borderId="37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164" fontId="44" fillId="0" borderId="55" xfId="0" applyNumberFormat="1" applyFont="1" applyFill="1" applyBorder="1" applyAlignment="1">
      <alignment horizontal="right" vertical="center" indent="1"/>
    </xf>
    <xf numFmtId="164" fontId="44" fillId="0" borderId="37" xfId="0" applyNumberFormat="1" applyFont="1" applyFill="1" applyBorder="1" applyAlignment="1">
      <alignment horizontal="right" vertical="center" indent="1"/>
    </xf>
    <xf numFmtId="164" fontId="44" fillId="0" borderId="55" xfId="0" applyNumberFormat="1" applyFont="1" applyFill="1" applyBorder="1" applyAlignment="1">
      <alignment horizontal="right" indent="1"/>
    </xf>
    <xf numFmtId="164" fontId="44" fillId="0" borderId="37" xfId="0" applyNumberFormat="1" applyFont="1" applyFill="1" applyBorder="1" applyAlignment="1">
      <alignment horizontal="right" indent="1"/>
    </xf>
    <xf numFmtId="0" fontId="45" fillId="0" borderId="55" xfId="0" applyFont="1" applyFill="1" applyBorder="1" applyAlignment="1">
      <alignment vertical="center"/>
    </xf>
    <xf numFmtId="0" fontId="45" fillId="0" borderId="55" xfId="0" applyFont="1" applyFill="1" applyBorder="1" applyAlignment="1">
      <alignment horizontal="right" vertical="center" indent="1"/>
    </xf>
    <xf numFmtId="0" fontId="45" fillId="0" borderId="37" xfId="0" applyFont="1" applyFill="1" applyBorder="1" applyAlignment="1">
      <alignment horizontal="right" vertical="center" indent="1"/>
    </xf>
    <xf numFmtId="176" fontId="45" fillId="0" borderId="0" xfId="0" applyNumberFormat="1" applyFont="1" applyFill="1" applyBorder="1" applyAlignment="1">
      <alignment horizontal="right" indent="1"/>
    </xf>
    <xf numFmtId="2" fontId="45" fillId="0" borderId="32" xfId="0" applyNumberFormat="1" applyFont="1" applyFill="1" applyBorder="1" applyAlignment="1">
      <alignment horizontal="right" vertical="center" indent="1"/>
    </xf>
    <xf numFmtId="0" fontId="65" fillId="0" borderId="0" xfId="0" applyFont="1" applyAlignment="1">
      <alignment vertical="center" wrapText="1"/>
    </xf>
    <xf numFmtId="0" fontId="65" fillId="0" borderId="0" xfId="0" applyFont="1" applyBorder="1" applyAlignment="1">
      <alignment vertical="center" wrapText="1"/>
    </xf>
    <xf numFmtId="0" fontId="73" fillId="0" borderId="56" xfId="0" applyFont="1" applyBorder="1" applyAlignment="1">
      <alignment horizontal="center"/>
    </xf>
    <xf numFmtId="0" fontId="73" fillId="0" borderId="57" xfId="0" applyFont="1" applyBorder="1" applyAlignment="1">
      <alignment horizontal="center"/>
    </xf>
    <xf numFmtId="0" fontId="65" fillId="0" borderId="57" xfId="0" applyFont="1" applyFill="1" applyBorder="1" applyAlignment="1">
      <alignment horizontal="center" wrapText="1"/>
    </xf>
    <xf numFmtId="0" fontId="73" fillId="0" borderId="0" xfId="0" applyFont="1" applyBorder="1" applyAlignment="1">
      <alignment horizontal="center"/>
    </xf>
    <xf numFmtId="0" fontId="45" fillId="0" borderId="54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 wrapText="1"/>
    </xf>
    <xf numFmtId="4" fontId="44" fillId="0" borderId="0" xfId="0" applyNumberFormat="1" applyFont="1" applyFill="1" applyBorder="1" applyAlignment="1">
      <alignment horizontal="right"/>
    </xf>
    <xf numFmtId="0" fontId="66" fillId="0" borderId="37" xfId="0" applyFont="1" applyBorder="1" applyAlignment="1">
      <alignment vertical="center" wrapText="1"/>
    </xf>
    <xf numFmtId="176" fontId="66" fillId="0" borderId="54" xfId="0" applyNumberFormat="1" applyFont="1" applyBorder="1" applyAlignment="1">
      <alignment horizontal="right" vertical="center" indent="1"/>
    </xf>
    <xf numFmtId="176" fontId="66" fillId="0" borderId="0" xfId="0" applyNumberFormat="1" applyFont="1" applyAlignment="1">
      <alignment horizontal="right" vertical="center" indent="1"/>
    </xf>
    <xf numFmtId="0" fontId="66" fillId="0" borderId="0" xfId="0" applyFont="1" applyAlignment="1">
      <alignment vertical="center" wrapText="1"/>
    </xf>
    <xf numFmtId="176" fontId="66" fillId="0" borderId="59" xfId="0" applyNumberFormat="1" applyFont="1" applyBorder="1" applyAlignment="1">
      <alignment horizontal="right" vertical="center" indent="1"/>
    </xf>
    <xf numFmtId="176" fontId="66" fillId="0" borderId="38" xfId="0" applyNumberFormat="1" applyFont="1" applyBorder="1" applyAlignment="1">
      <alignment horizontal="right" vertical="center" indent="1"/>
    </xf>
    <xf numFmtId="176" fontId="66" fillId="0" borderId="55" xfId="0" applyNumberFormat="1" applyFont="1" applyBorder="1" applyAlignment="1">
      <alignment horizontal="right" vertical="center" indent="1"/>
    </xf>
    <xf numFmtId="176" fontId="66" fillId="0" borderId="37" xfId="0" applyNumberFormat="1" applyFont="1" applyBorder="1" applyAlignment="1">
      <alignment horizontal="right" vertical="center" indent="1"/>
    </xf>
    <xf numFmtId="176" fontId="66" fillId="0" borderId="0" xfId="0" applyNumberFormat="1" applyFont="1" applyBorder="1" applyAlignment="1">
      <alignment horizontal="right" vertical="center" indent="1"/>
    </xf>
    <xf numFmtId="176" fontId="66" fillId="48" borderId="55" xfId="0" applyNumberFormat="1" applyFont="1" applyFill="1" applyBorder="1" applyAlignment="1">
      <alignment horizontal="right" vertical="center" indent="1"/>
    </xf>
    <xf numFmtId="176" fontId="66" fillId="48" borderId="37" xfId="0" applyNumberFormat="1" applyFont="1" applyFill="1" applyBorder="1" applyAlignment="1">
      <alignment horizontal="right" vertical="center" indent="1"/>
    </xf>
    <xf numFmtId="176" fontId="66" fillId="0" borderId="37" xfId="0" applyNumberFormat="1" applyFont="1" applyFill="1" applyBorder="1" applyAlignment="1">
      <alignment horizontal="right" vertical="center" indent="1"/>
    </xf>
    <xf numFmtId="176" fontId="66" fillId="0" borderId="0" xfId="0" applyNumberFormat="1" applyFont="1" applyFill="1" applyBorder="1" applyAlignment="1">
      <alignment horizontal="right" vertical="center" indent="1"/>
    </xf>
    <xf numFmtId="176" fontId="66" fillId="0" borderId="55" xfId="0" applyNumberFormat="1" applyFont="1" applyFill="1" applyBorder="1" applyAlignment="1">
      <alignment horizontal="right" vertical="center" indent="1"/>
    </xf>
    <xf numFmtId="0" fontId="65" fillId="0" borderId="37" xfId="0" applyFont="1" applyBorder="1" applyAlignment="1">
      <alignment vertical="center" wrapText="1"/>
    </xf>
    <xf numFmtId="176" fontId="72" fillId="0" borderId="55" xfId="0" applyNumberFormat="1" applyFont="1" applyBorder="1" applyAlignment="1">
      <alignment horizontal="right" vertical="center" indent="1"/>
    </xf>
    <xf numFmtId="176" fontId="72" fillId="0" borderId="37" xfId="0" applyNumberFormat="1" applyFont="1" applyBorder="1" applyAlignment="1">
      <alignment horizontal="right" vertical="center" indent="1"/>
    </xf>
    <xf numFmtId="176" fontId="72" fillId="0" borderId="0" xfId="0" applyNumberFormat="1" applyFont="1" applyBorder="1" applyAlignment="1">
      <alignment horizontal="right" vertical="center" indent="1"/>
    </xf>
    <xf numFmtId="176" fontId="66" fillId="0" borderId="0" xfId="0" applyNumberFormat="1" applyFont="1" applyAlignment="1">
      <alignment horizontal="right" vertical="center" wrapText="1" indent="1"/>
    </xf>
    <xf numFmtId="176" fontId="66" fillId="0" borderId="37" xfId="0" applyNumberFormat="1" applyFont="1" applyBorder="1" applyAlignment="1">
      <alignment horizontal="right" vertical="center" wrapText="1" indent="1"/>
    </xf>
    <xf numFmtId="176" fontId="62" fillId="47" borderId="60" xfId="0" applyNumberFormat="1" applyFont="1" applyFill="1" applyBorder="1" applyAlignment="1">
      <alignment horizontal="right" vertical="center" indent="1"/>
    </xf>
    <xf numFmtId="176" fontId="45" fillId="48" borderId="61" xfId="109" applyNumberFormat="1" applyFont="1" applyFill="1" applyBorder="1" applyAlignment="1">
      <alignment horizontal="right" vertical="center" indent="1"/>
      <protection/>
    </xf>
    <xf numFmtId="176" fontId="44" fillId="48" borderId="61" xfId="109" applyNumberFormat="1" applyFont="1" applyFill="1" applyBorder="1" applyAlignment="1">
      <alignment horizontal="right" vertical="center" indent="1"/>
      <protection/>
    </xf>
    <xf numFmtId="176" fontId="45" fillId="48" borderId="62" xfId="109" applyNumberFormat="1" applyFont="1" applyFill="1" applyBorder="1" applyAlignment="1">
      <alignment horizontal="right" vertical="center" indent="1"/>
      <protection/>
    </xf>
    <xf numFmtId="176" fontId="44" fillId="48" borderId="63" xfId="109" applyNumberFormat="1" applyFont="1" applyFill="1" applyBorder="1" applyAlignment="1">
      <alignment horizontal="right" vertical="center" indent="1"/>
      <protection/>
    </xf>
    <xf numFmtId="176" fontId="45" fillId="48" borderId="63" xfId="109" applyNumberFormat="1" applyFont="1" applyFill="1" applyBorder="1" applyAlignment="1">
      <alignment horizontal="right" vertical="center" indent="1"/>
      <protection/>
    </xf>
    <xf numFmtId="176" fontId="45" fillId="0" borderId="20" xfId="109" applyNumberFormat="1" applyFont="1" applyFill="1" applyBorder="1" applyAlignment="1">
      <alignment horizontal="right" vertical="center" indent="1"/>
      <protection/>
    </xf>
    <xf numFmtId="176" fontId="45" fillId="0" borderId="18" xfId="109" applyNumberFormat="1" applyFont="1" applyFill="1" applyBorder="1" applyAlignment="1">
      <alignment horizontal="right" vertical="center" indent="1"/>
      <protection/>
    </xf>
    <xf numFmtId="176" fontId="45" fillId="0" borderId="19" xfId="109" applyNumberFormat="1" applyFont="1" applyFill="1" applyBorder="1" applyAlignment="1">
      <alignment horizontal="right" vertical="center" indent="1"/>
      <protection/>
    </xf>
    <xf numFmtId="3" fontId="44" fillId="48" borderId="0" xfId="109" applyNumberFormat="1" applyFont="1" applyFill="1" applyBorder="1" applyAlignment="1">
      <alignment vertical="center"/>
      <protection/>
    </xf>
    <xf numFmtId="176" fontId="44" fillId="48" borderId="42" xfId="109" applyNumberFormat="1" applyFont="1" applyFill="1" applyBorder="1" applyAlignment="1">
      <alignment horizontal="right" vertical="center" indent="1"/>
      <protection/>
    </xf>
    <xf numFmtId="176" fontId="44" fillId="48" borderId="32" xfId="109" applyNumberFormat="1" applyFont="1" applyFill="1" applyBorder="1" applyAlignment="1">
      <alignment horizontal="right" vertical="center" indent="1"/>
      <protection/>
    </xf>
    <xf numFmtId="176" fontId="45" fillId="48" borderId="42" xfId="109" applyNumberFormat="1" applyFont="1" applyFill="1" applyBorder="1" applyAlignment="1">
      <alignment horizontal="right" vertical="center" indent="1"/>
      <protection/>
    </xf>
    <xf numFmtId="176" fontId="45" fillId="48" borderId="32" xfId="109" applyNumberFormat="1" applyFont="1" applyFill="1" applyBorder="1" applyAlignment="1">
      <alignment horizontal="right" vertical="center" indent="1"/>
      <protection/>
    </xf>
    <xf numFmtId="0" fontId="48" fillId="0" borderId="0" xfId="0" applyFont="1" applyFill="1" applyBorder="1" applyAlignment="1">
      <alignment vertical="center" wrapText="1"/>
    </xf>
    <xf numFmtId="0" fontId="49" fillId="49" borderId="64" xfId="0" applyFont="1" applyFill="1" applyBorder="1" applyAlignment="1">
      <alignment horizontal="right" vertical="center" wrapText="1"/>
    </xf>
    <xf numFmtId="0" fontId="49" fillId="49" borderId="65" xfId="0" applyFont="1" applyFill="1" applyBorder="1" applyAlignment="1">
      <alignment horizontal="right" vertical="center" wrapText="1"/>
    </xf>
    <xf numFmtId="0" fontId="48" fillId="0" borderId="20" xfId="0" applyFont="1" applyFill="1" applyBorder="1" applyAlignment="1">
      <alignment vertical="center"/>
    </xf>
    <xf numFmtId="0" fontId="49" fillId="0" borderId="66" xfId="0" applyFont="1" applyFill="1" applyBorder="1" applyAlignment="1">
      <alignment horizontal="right" vertical="center"/>
    </xf>
    <xf numFmtId="0" fontId="49" fillId="0" borderId="20" xfId="0" applyFont="1" applyFill="1" applyBorder="1" applyAlignment="1">
      <alignment vertical="center"/>
    </xf>
    <xf numFmtId="185" fontId="48" fillId="50" borderId="67" xfId="0" applyNumberFormat="1" applyFont="1" applyFill="1" applyBorder="1" applyAlignment="1">
      <alignment horizontal="right" vertical="center" wrapText="1"/>
    </xf>
    <xf numFmtId="185" fontId="49" fillId="0" borderId="68" xfId="0" applyNumberFormat="1" applyFont="1" applyFill="1" applyBorder="1" applyAlignment="1">
      <alignment horizontal="right"/>
    </xf>
    <xf numFmtId="185" fontId="49" fillId="0" borderId="14" xfId="0" applyNumberFormat="1" applyFont="1" applyFill="1" applyBorder="1" applyAlignment="1">
      <alignment horizontal="right"/>
    </xf>
    <xf numFmtId="185" fontId="49" fillId="0" borderId="20" xfId="0" applyNumberFormat="1" applyFont="1" applyFill="1" applyBorder="1" applyAlignment="1">
      <alignment horizontal="right"/>
    </xf>
    <xf numFmtId="185" fontId="48" fillId="50" borderId="68" xfId="0" applyNumberFormat="1" applyFont="1" applyFill="1" applyBorder="1" applyAlignment="1">
      <alignment horizontal="right"/>
    </xf>
    <xf numFmtId="185" fontId="49" fillId="0" borderId="69" xfId="0" applyNumberFormat="1" applyFont="1" applyFill="1" applyBorder="1" applyAlignment="1">
      <alignment horizontal="right"/>
    </xf>
    <xf numFmtId="185" fontId="49" fillId="0" borderId="70" xfId="0" applyNumberFormat="1" applyFont="1" applyFill="1" applyBorder="1" applyAlignment="1">
      <alignment horizontal="right"/>
    </xf>
    <xf numFmtId="185" fontId="48" fillId="50" borderId="14" xfId="0" applyNumberFormat="1" applyFont="1" applyFill="1" applyBorder="1" applyAlignment="1">
      <alignment horizontal="right"/>
    </xf>
    <xf numFmtId="185" fontId="48" fillId="50" borderId="20" xfId="0" applyNumberFormat="1" applyFont="1" applyFill="1" applyBorder="1" applyAlignment="1">
      <alignment horizontal="right"/>
    </xf>
    <xf numFmtId="185" fontId="48" fillId="50" borderId="71" xfId="0" applyNumberFormat="1" applyFont="1" applyFill="1" applyBorder="1" applyAlignment="1">
      <alignment horizontal="right" vertical="center" wrapText="1"/>
    </xf>
    <xf numFmtId="185" fontId="49" fillId="0" borderId="72" xfId="0" applyNumberFormat="1" applyFont="1" applyFill="1" applyBorder="1" applyAlignment="1">
      <alignment horizontal="right"/>
    </xf>
    <xf numFmtId="185" fontId="49" fillId="0" borderId="73" xfId="0" applyNumberFormat="1" applyFont="1" applyFill="1" applyBorder="1" applyAlignment="1">
      <alignment horizontal="right"/>
    </xf>
    <xf numFmtId="185" fontId="49" fillId="0" borderId="74" xfId="0" applyNumberFormat="1" applyFont="1" applyFill="1" applyBorder="1" applyAlignment="1">
      <alignment horizontal="right"/>
    </xf>
    <xf numFmtId="185" fontId="49" fillId="0" borderId="75" xfId="0" applyNumberFormat="1" applyFont="1" applyFill="1" applyBorder="1" applyAlignment="1">
      <alignment horizontal="right"/>
    </xf>
    <xf numFmtId="185" fontId="49" fillId="0" borderId="76" xfId="0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 vertical="center"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185" fontId="48" fillId="50" borderId="70" xfId="0" applyNumberFormat="1" applyFont="1" applyFill="1" applyBorder="1" applyAlignment="1">
      <alignment horizontal="right"/>
    </xf>
    <xf numFmtId="185" fontId="48" fillId="50" borderId="77" xfId="0" applyNumberFormat="1" applyFont="1" applyFill="1" applyBorder="1" applyAlignment="1">
      <alignment horizontal="right" vertical="center" wrapText="1"/>
    </xf>
    <xf numFmtId="185" fontId="49" fillId="0" borderId="78" xfId="0" applyNumberFormat="1" applyFont="1" applyFill="1" applyBorder="1" applyAlignment="1">
      <alignment horizontal="right"/>
    </xf>
    <xf numFmtId="185" fontId="49" fillId="0" borderId="79" xfId="0" applyNumberFormat="1" applyFont="1" applyFill="1" applyBorder="1" applyAlignment="1">
      <alignment horizontal="right"/>
    </xf>
    <xf numFmtId="185" fontId="49" fillId="0" borderId="24" xfId="0" applyNumberFormat="1" applyFont="1" applyFill="1" applyBorder="1" applyAlignment="1">
      <alignment horizontal="right"/>
    </xf>
    <xf numFmtId="185" fontId="49" fillId="0" borderId="80" xfId="0" applyNumberFormat="1" applyFont="1" applyFill="1" applyBorder="1" applyAlignment="1">
      <alignment horizontal="right"/>
    </xf>
    <xf numFmtId="185" fontId="49" fillId="50" borderId="81" xfId="0" applyNumberFormat="1" applyFont="1" applyFill="1" applyBorder="1" applyAlignment="1">
      <alignment horizontal="right" vertical="center"/>
    </xf>
    <xf numFmtId="185" fontId="49" fillId="0" borderId="82" xfId="0" applyNumberFormat="1" applyFont="1" applyFill="1" applyBorder="1" applyAlignment="1">
      <alignment horizontal="right"/>
    </xf>
    <xf numFmtId="185" fontId="49" fillId="0" borderId="83" xfId="0" applyNumberFormat="1" applyFont="1" applyFill="1" applyBorder="1" applyAlignment="1">
      <alignment horizontal="right"/>
    </xf>
    <xf numFmtId="185" fontId="49" fillId="0" borderId="84" xfId="0" applyNumberFormat="1" applyFont="1" applyFill="1" applyBorder="1" applyAlignment="1">
      <alignment horizontal="right"/>
    </xf>
    <xf numFmtId="185" fontId="49" fillId="0" borderId="66" xfId="0" applyNumberFormat="1" applyFont="1" applyFill="1" applyBorder="1" applyAlignment="1">
      <alignment horizontal="right"/>
    </xf>
    <xf numFmtId="185" fontId="49" fillId="0" borderId="85" xfId="0" applyNumberFormat="1" applyFont="1" applyFill="1" applyBorder="1" applyAlignment="1">
      <alignment horizontal="right"/>
    </xf>
    <xf numFmtId="0" fontId="48" fillId="49" borderId="86" xfId="0" applyFont="1" applyFill="1" applyBorder="1" applyAlignment="1">
      <alignment horizontal="right" vertical="center" wrapText="1"/>
    </xf>
    <xf numFmtId="0" fontId="49" fillId="49" borderId="87" xfId="0" applyFont="1" applyFill="1" applyBorder="1" applyAlignment="1">
      <alignment horizontal="right" vertical="center" wrapText="1"/>
    </xf>
    <xf numFmtId="0" fontId="49" fillId="49" borderId="88" xfId="0" applyFont="1" applyFill="1" applyBorder="1" applyAlignment="1">
      <alignment horizontal="right" vertical="center" wrapText="1"/>
    </xf>
    <xf numFmtId="0" fontId="49" fillId="49" borderId="89" xfId="0" applyFont="1" applyFill="1" applyBorder="1" applyAlignment="1">
      <alignment horizontal="right" vertical="center" wrapText="1"/>
    </xf>
    <xf numFmtId="185" fontId="48" fillId="50" borderId="90" xfId="0" applyNumberFormat="1" applyFont="1" applyFill="1" applyBorder="1" applyAlignment="1">
      <alignment horizontal="right" vertical="center" wrapText="1"/>
    </xf>
    <xf numFmtId="185" fontId="49" fillId="0" borderId="91" xfId="0" applyNumberFormat="1" applyFont="1" applyFill="1" applyBorder="1" applyAlignment="1">
      <alignment horizontal="right"/>
    </xf>
    <xf numFmtId="185" fontId="49" fillId="0" borderId="92" xfId="0" applyNumberFormat="1" applyFont="1" applyFill="1" applyBorder="1" applyAlignment="1">
      <alignment horizontal="right"/>
    </xf>
    <xf numFmtId="0" fontId="49" fillId="50" borderId="81" xfId="0" applyFont="1" applyFill="1" applyBorder="1" applyAlignment="1">
      <alignment horizontal="right" vertical="center"/>
    </xf>
    <xf numFmtId="0" fontId="49" fillId="0" borderId="82" xfId="0" applyFont="1" applyFill="1" applyBorder="1" applyAlignment="1">
      <alignment horizontal="right" vertical="center"/>
    </xf>
    <xf numFmtId="0" fontId="49" fillId="0" borderId="83" xfId="0" applyFont="1" applyFill="1" applyBorder="1" applyAlignment="1">
      <alignment horizontal="right" vertical="center"/>
    </xf>
    <xf numFmtId="0" fontId="49" fillId="0" borderId="85" xfId="0" applyFont="1" applyFill="1" applyBorder="1" applyAlignment="1">
      <alignment horizontal="right" vertical="center"/>
    </xf>
    <xf numFmtId="0" fontId="48" fillId="0" borderId="83" xfId="0" applyFont="1" applyFill="1" applyBorder="1" applyAlignment="1">
      <alignment horizontal="right" vertical="center"/>
    </xf>
    <xf numFmtId="185" fontId="48" fillId="0" borderId="83" xfId="0" applyNumberFormat="1" applyFont="1" applyFill="1" applyBorder="1" applyAlignment="1">
      <alignment horizontal="right"/>
    </xf>
    <xf numFmtId="176" fontId="44" fillId="0" borderId="0" xfId="109" applyNumberFormat="1" applyFont="1" applyFill="1" applyAlignment="1">
      <alignment/>
      <protection/>
    </xf>
    <xf numFmtId="176" fontId="63" fillId="47" borderId="93" xfId="0" applyNumberFormat="1" applyFont="1" applyFill="1" applyBorder="1" applyAlignment="1">
      <alignment horizontal="right" vertical="center" indent="1"/>
    </xf>
    <xf numFmtId="176" fontId="63" fillId="47" borderId="94" xfId="0" applyNumberFormat="1" applyFont="1" applyFill="1" applyBorder="1" applyAlignment="1">
      <alignment horizontal="right" vertical="center" indent="1"/>
    </xf>
    <xf numFmtId="176" fontId="63" fillId="47" borderId="95" xfId="0" applyNumberFormat="1" applyFont="1" applyFill="1" applyBorder="1" applyAlignment="1">
      <alignment horizontal="right" vertical="center" indent="1"/>
    </xf>
    <xf numFmtId="176" fontId="63" fillId="47" borderId="96" xfId="0" applyNumberFormat="1" applyFont="1" applyFill="1" applyBorder="1" applyAlignment="1">
      <alignment horizontal="right" vertical="center" indent="1"/>
    </xf>
    <xf numFmtId="176" fontId="62" fillId="47" borderId="94" xfId="0" applyNumberFormat="1" applyFont="1" applyFill="1" applyBorder="1" applyAlignment="1">
      <alignment horizontal="right" vertical="center" indent="1"/>
    </xf>
    <xf numFmtId="176" fontId="63" fillId="47" borderId="97" xfId="0" applyNumberFormat="1" applyFont="1" applyFill="1" applyBorder="1" applyAlignment="1">
      <alignment horizontal="right" vertical="center" indent="1"/>
    </xf>
    <xf numFmtId="176" fontId="62" fillId="47" borderId="98" xfId="0" applyNumberFormat="1" applyFont="1" applyFill="1" applyBorder="1" applyAlignment="1">
      <alignment horizontal="right" vertical="center" indent="1"/>
    </xf>
    <xf numFmtId="0" fontId="44" fillId="0" borderId="99" xfId="0" applyFont="1" applyFill="1" applyBorder="1" applyAlignment="1">
      <alignment/>
    </xf>
    <xf numFmtId="176" fontId="44" fillId="0" borderId="0" xfId="0" applyNumberFormat="1" applyFont="1" applyFill="1" applyAlignment="1">
      <alignment/>
    </xf>
    <xf numFmtId="185" fontId="48" fillId="0" borderId="18" xfId="0" applyNumberFormat="1" applyFont="1" applyFill="1" applyBorder="1" applyAlignment="1">
      <alignment horizontal="right"/>
    </xf>
    <xf numFmtId="185" fontId="48" fillId="0" borderId="100" xfId="0" applyNumberFormat="1" applyFont="1" applyFill="1" applyBorder="1" applyAlignment="1">
      <alignment horizontal="right"/>
    </xf>
    <xf numFmtId="185" fontId="48" fillId="0" borderId="101" xfId="0" applyNumberFormat="1" applyFont="1" applyFill="1" applyBorder="1" applyAlignment="1">
      <alignment horizontal="right"/>
    </xf>
    <xf numFmtId="185" fontId="48" fillId="50" borderId="69" xfId="0" applyNumberFormat="1" applyFont="1" applyFill="1" applyBorder="1" applyAlignment="1">
      <alignment horizontal="right"/>
    </xf>
    <xf numFmtId="0" fontId="49" fillId="49" borderId="102" xfId="0" applyFont="1" applyFill="1" applyBorder="1" applyAlignment="1">
      <alignment horizontal="right" vertical="center" wrapText="1"/>
    </xf>
    <xf numFmtId="0" fontId="49" fillId="0" borderId="84" xfId="0" applyFont="1" applyFill="1" applyBorder="1" applyAlignment="1">
      <alignment horizontal="right" vertical="center"/>
    </xf>
    <xf numFmtId="185" fontId="49" fillId="0" borderId="27" xfId="0" applyNumberFormat="1" applyFont="1" applyFill="1" applyBorder="1" applyAlignment="1">
      <alignment horizontal="right"/>
    </xf>
    <xf numFmtId="0" fontId="49" fillId="49" borderId="103" xfId="0" applyFont="1" applyFill="1" applyBorder="1" applyAlignment="1">
      <alignment horizontal="right" vertical="center" wrapText="1"/>
    </xf>
    <xf numFmtId="0" fontId="49" fillId="0" borderId="104" xfId="0" applyFont="1" applyFill="1" applyBorder="1" applyAlignment="1">
      <alignment horizontal="right" vertical="center"/>
    </xf>
    <xf numFmtId="9" fontId="49" fillId="0" borderId="105" xfId="115" applyFont="1" applyFill="1" applyBorder="1" applyAlignment="1">
      <alignment horizontal="right"/>
    </xf>
    <xf numFmtId="0" fontId="48" fillId="49" borderId="106" xfId="0" applyFont="1" applyFill="1" applyBorder="1" applyAlignment="1">
      <alignment horizontal="right" vertical="center" wrapText="1"/>
    </xf>
    <xf numFmtId="0" fontId="48" fillId="50" borderId="66" xfId="0" applyFont="1" applyFill="1" applyBorder="1" applyAlignment="1">
      <alignment horizontal="right" vertical="center"/>
    </xf>
    <xf numFmtId="185" fontId="48" fillId="50" borderId="75" xfId="0" applyNumberFormat="1" applyFont="1" applyFill="1" applyBorder="1" applyAlignment="1">
      <alignment horizontal="right"/>
    </xf>
    <xf numFmtId="185" fontId="48" fillId="50" borderId="107" xfId="0" applyNumberFormat="1" applyFont="1" applyFill="1" applyBorder="1" applyAlignment="1">
      <alignment horizontal="right" vertical="center"/>
    </xf>
    <xf numFmtId="185" fontId="48" fillId="50" borderId="69" xfId="0" applyNumberFormat="1" applyFont="1" applyFill="1" applyBorder="1" applyAlignment="1">
      <alignment horizontal="right" vertical="center"/>
    </xf>
    <xf numFmtId="185" fontId="48" fillId="50" borderId="108" xfId="0" applyNumberFormat="1" applyFont="1" applyFill="1" applyBorder="1" applyAlignment="1">
      <alignment horizontal="right" vertical="center"/>
    </xf>
    <xf numFmtId="185" fontId="48" fillId="50" borderId="66" xfId="0" applyNumberFormat="1" applyFont="1" applyFill="1" applyBorder="1" applyAlignment="1">
      <alignment horizontal="right"/>
    </xf>
    <xf numFmtId="185" fontId="48" fillId="50" borderId="75" xfId="0" applyNumberFormat="1" applyFont="1" applyFill="1" applyBorder="1" applyAlignment="1">
      <alignment horizontal="right" vertical="center"/>
    </xf>
    <xf numFmtId="0" fontId="48" fillId="49" borderId="109" xfId="0" applyFont="1" applyFill="1" applyBorder="1" applyAlignment="1">
      <alignment horizontal="right" vertical="center" wrapText="1"/>
    </xf>
    <xf numFmtId="0" fontId="49" fillId="49" borderId="110" xfId="0" applyFont="1" applyFill="1" applyBorder="1" applyAlignment="1">
      <alignment horizontal="right" vertical="center" wrapText="1"/>
    </xf>
    <xf numFmtId="0" fontId="48" fillId="49" borderId="66" xfId="0" applyFont="1" applyFill="1" applyBorder="1" applyAlignment="1">
      <alignment horizontal="right" vertical="center" wrapText="1"/>
    </xf>
    <xf numFmtId="0" fontId="49" fillId="50" borderId="69" xfId="0" applyFont="1" applyFill="1" applyBorder="1" applyAlignment="1">
      <alignment horizontal="right" vertical="center"/>
    </xf>
    <xf numFmtId="185" fontId="48" fillId="50" borderId="69" xfId="0" applyNumberFormat="1" applyFont="1" applyFill="1" applyBorder="1" applyAlignment="1">
      <alignment horizontal="right" vertical="center" wrapText="1"/>
    </xf>
    <xf numFmtId="185" fontId="49" fillId="50" borderId="69" xfId="0" applyNumberFormat="1" applyFont="1" applyFill="1" applyBorder="1" applyAlignment="1">
      <alignment horizontal="right" vertical="center"/>
    </xf>
    <xf numFmtId="185" fontId="49" fillId="50" borderId="67" xfId="0" applyNumberFormat="1" applyFont="1" applyFill="1" applyBorder="1" applyAlignment="1">
      <alignment horizontal="right" vertical="center"/>
    </xf>
    <xf numFmtId="9" fontId="49" fillId="0" borderId="82" xfId="115" applyNumberFormat="1" applyFont="1" applyFill="1" applyBorder="1" applyAlignment="1">
      <alignment horizontal="right" vertical="center"/>
    </xf>
    <xf numFmtId="9" fontId="49" fillId="0" borderId="68" xfId="115" applyNumberFormat="1" applyFont="1" applyFill="1" applyBorder="1" applyAlignment="1">
      <alignment horizontal="right" vertical="center"/>
    </xf>
    <xf numFmtId="9" fontId="49" fillId="0" borderId="72" xfId="115" applyNumberFormat="1" applyFont="1" applyFill="1" applyBorder="1" applyAlignment="1">
      <alignment horizontal="right" vertical="center"/>
    </xf>
    <xf numFmtId="0" fontId="48" fillId="0" borderId="85" xfId="0" applyFont="1" applyFill="1" applyBorder="1" applyAlignment="1">
      <alignment horizontal="right" vertical="center"/>
    </xf>
    <xf numFmtId="185" fontId="48" fillId="50" borderId="90" xfId="0" applyNumberFormat="1" applyFont="1" applyFill="1" applyBorder="1" applyAlignment="1">
      <alignment horizontal="right"/>
    </xf>
    <xf numFmtId="9" fontId="49" fillId="0" borderId="69" xfId="115" applyNumberFormat="1" applyFont="1" applyFill="1" applyBorder="1" applyAlignment="1">
      <alignment horizontal="right"/>
    </xf>
    <xf numFmtId="9" fontId="48" fillId="50" borderId="69" xfId="115" applyNumberFormat="1" applyFont="1" applyFill="1" applyBorder="1" applyAlignment="1">
      <alignment horizontal="right"/>
    </xf>
    <xf numFmtId="9" fontId="49" fillId="0" borderId="75" xfId="115" applyNumberFormat="1" applyFont="1" applyFill="1" applyBorder="1" applyAlignment="1">
      <alignment horizontal="right"/>
    </xf>
    <xf numFmtId="9" fontId="49" fillId="0" borderId="66" xfId="0" applyNumberFormat="1" applyFont="1" applyFill="1" applyBorder="1" applyAlignment="1">
      <alignment horizontal="right"/>
    </xf>
    <xf numFmtId="9" fontId="49" fillId="0" borderId="107" xfId="115" applyNumberFormat="1" applyFont="1" applyFill="1" applyBorder="1" applyAlignment="1">
      <alignment horizontal="right" vertical="center"/>
    </xf>
    <xf numFmtId="9" fontId="49" fillId="0" borderId="111" xfId="115" applyNumberFormat="1" applyFont="1" applyFill="1" applyBorder="1" applyAlignment="1">
      <alignment horizontal="right" vertical="center"/>
    </xf>
    <xf numFmtId="0" fontId="48" fillId="0" borderId="81" xfId="0" applyFont="1" applyFill="1" applyBorder="1" applyAlignment="1">
      <alignment horizontal="right" vertical="center"/>
    </xf>
    <xf numFmtId="185" fontId="48" fillId="0" borderId="67" xfId="0" applyNumberFormat="1" applyFont="1" applyFill="1" applyBorder="1" applyAlignment="1">
      <alignment horizontal="right"/>
    </xf>
    <xf numFmtId="9" fontId="49" fillId="0" borderId="69" xfId="115" applyFont="1" applyFill="1" applyBorder="1" applyAlignment="1">
      <alignment horizontal="right" vertical="center"/>
    </xf>
    <xf numFmtId="9" fontId="49" fillId="0" borderId="108" xfId="115" applyFont="1" applyFill="1" applyBorder="1" applyAlignment="1">
      <alignment horizontal="right" vertical="center"/>
    </xf>
    <xf numFmtId="9" fontId="49" fillId="0" borderId="66" xfId="115" applyFont="1" applyFill="1" applyBorder="1" applyAlignment="1">
      <alignment horizontal="right" vertical="center"/>
    </xf>
    <xf numFmtId="9" fontId="49" fillId="0" borderId="75" xfId="115" applyFont="1" applyFill="1" applyBorder="1" applyAlignment="1">
      <alignment horizontal="right" vertical="center"/>
    </xf>
    <xf numFmtId="9" fontId="49" fillId="0" borderId="107" xfId="115" applyFont="1" applyFill="1" applyBorder="1" applyAlignment="1">
      <alignment horizontal="right" vertical="center"/>
    </xf>
    <xf numFmtId="185" fontId="48" fillId="50" borderId="67" xfId="0" applyNumberFormat="1" applyFont="1" applyFill="1" applyBorder="1" applyAlignment="1">
      <alignment horizontal="right"/>
    </xf>
    <xf numFmtId="9" fontId="49" fillId="50" borderId="69" xfId="115" applyFont="1" applyFill="1" applyBorder="1" applyAlignment="1">
      <alignment horizontal="right" vertical="center"/>
    </xf>
    <xf numFmtId="9" fontId="49" fillId="0" borderId="69" xfId="115" applyFont="1" applyFill="1" applyBorder="1" applyAlignment="1">
      <alignment horizontal="right"/>
    </xf>
    <xf numFmtId="9" fontId="49" fillId="0" borderId="75" xfId="115" applyFont="1" applyFill="1" applyBorder="1" applyAlignment="1">
      <alignment horizontal="right"/>
    </xf>
    <xf numFmtId="9" fontId="49" fillId="0" borderId="66" xfId="115" applyFont="1" applyFill="1" applyBorder="1" applyAlignment="1">
      <alignment horizontal="right"/>
    </xf>
    <xf numFmtId="0" fontId="0" fillId="0" borderId="0" xfId="0" applyFill="1" applyAlignment="1">
      <alignment/>
    </xf>
    <xf numFmtId="9" fontId="49" fillId="0" borderId="112" xfId="115" applyFont="1" applyFill="1" applyBorder="1" applyAlignment="1">
      <alignment horizontal="right"/>
    </xf>
    <xf numFmtId="176" fontId="45" fillId="0" borderId="113" xfId="0" applyNumberFormat="1" applyFont="1" applyFill="1" applyBorder="1" applyAlignment="1">
      <alignment horizontal="right" vertical="center" indent="1"/>
    </xf>
    <xf numFmtId="176" fontId="44" fillId="0" borderId="113" xfId="0" applyNumberFormat="1" applyFont="1" applyFill="1" applyBorder="1" applyAlignment="1">
      <alignment horizontal="right" vertical="center" indent="1"/>
    </xf>
    <xf numFmtId="176" fontId="44" fillId="0" borderId="114" xfId="0" applyNumberFormat="1" applyFont="1" applyFill="1" applyBorder="1" applyAlignment="1">
      <alignment horizontal="right" vertical="center" indent="1"/>
    </xf>
    <xf numFmtId="176" fontId="44" fillId="0" borderId="115" xfId="0" applyNumberFormat="1" applyFont="1" applyFill="1" applyBorder="1" applyAlignment="1">
      <alignment horizontal="right" vertical="center" indent="1"/>
    </xf>
    <xf numFmtId="176" fontId="45" fillId="0" borderId="114" xfId="0" applyNumberFormat="1" applyFont="1" applyFill="1" applyBorder="1" applyAlignment="1">
      <alignment horizontal="right" vertical="center" indent="1"/>
    </xf>
    <xf numFmtId="176" fontId="63" fillId="47" borderId="116" xfId="0" applyNumberFormat="1" applyFont="1" applyFill="1" applyBorder="1" applyAlignment="1">
      <alignment horizontal="right" vertical="center" indent="1"/>
    </xf>
    <xf numFmtId="176" fontId="62" fillId="47" borderId="116" xfId="0" applyNumberFormat="1" applyFont="1" applyFill="1" applyBorder="1" applyAlignment="1">
      <alignment horizontal="right" vertical="center" indent="1"/>
    </xf>
    <xf numFmtId="176" fontId="63" fillId="47" borderId="117" xfId="0" applyNumberFormat="1" applyFont="1" applyFill="1" applyBorder="1" applyAlignment="1">
      <alignment horizontal="right" vertical="center" indent="1"/>
    </xf>
    <xf numFmtId="176" fontId="62" fillId="47" borderId="118" xfId="0" applyNumberFormat="1" applyFont="1" applyFill="1" applyBorder="1" applyAlignment="1">
      <alignment horizontal="right" vertical="center" indent="1"/>
    </xf>
    <xf numFmtId="176" fontId="63" fillId="47" borderId="119" xfId="0" applyNumberFormat="1" applyFont="1" applyFill="1" applyBorder="1" applyAlignment="1">
      <alignment horizontal="right" vertical="center" indent="1"/>
    </xf>
    <xf numFmtId="176" fontId="63" fillId="47" borderId="118" xfId="0" applyNumberFormat="1" applyFont="1" applyFill="1" applyBorder="1" applyAlignment="1">
      <alignment horizontal="right" vertical="center" indent="1"/>
    </xf>
    <xf numFmtId="176" fontId="62" fillId="47" borderId="119" xfId="0" applyNumberFormat="1" applyFont="1" applyFill="1" applyBorder="1" applyAlignment="1">
      <alignment horizontal="right" vertical="center" indent="1"/>
    </xf>
    <xf numFmtId="176" fontId="62" fillId="47" borderId="117" xfId="0" applyNumberFormat="1" applyFont="1" applyFill="1" applyBorder="1" applyAlignment="1">
      <alignment horizontal="right" vertical="center" indent="1"/>
    </xf>
    <xf numFmtId="176" fontId="63" fillId="47" borderId="120" xfId="0" applyNumberFormat="1" applyFont="1" applyFill="1" applyBorder="1" applyAlignment="1">
      <alignment horizontal="right" vertical="center" indent="1"/>
    </xf>
    <xf numFmtId="4" fontId="63" fillId="47" borderId="95" xfId="0" applyNumberFormat="1" applyFont="1" applyFill="1" applyBorder="1" applyAlignment="1">
      <alignment horizontal="right" vertical="center" indent="1"/>
    </xf>
    <xf numFmtId="4" fontId="63" fillId="47" borderId="94" xfId="0" applyNumberFormat="1" applyFont="1" applyFill="1" applyBorder="1" applyAlignment="1">
      <alignment horizontal="right" vertical="center" indent="1"/>
    </xf>
    <xf numFmtId="0" fontId="65" fillId="0" borderId="18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vertical="center" wrapText="1"/>
    </xf>
    <xf numFmtId="176" fontId="63" fillId="47" borderId="0" xfId="109" applyNumberFormat="1" applyFont="1" applyFill="1" applyBorder="1" applyAlignment="1">
      <alignment horizontal="right" vertical="center" indent="1"/>
      <protection/>
    </xf>
    <xf numFmtId="4" fontId="63" fillId="47" borderId="0" xfId="109" applyNumberFormat="1" applyFont="1" applyFill="1" applyBorder="1" applyAlignment="1">
      <alignment horizontal="right" vertical="center" indent="1"/>
      <protection/>
    </xf>
    <xf numFmtId="4" fontId="62" fillId="47" borderId="0" xfId="109" applyNumberFormat="1" applyFont="1" applyFill="1" applyBorder="1" applyAlignment="1">
      <alignment horizontal="right" vertical="center" indent="1"/>
      <protection/>
    </xf>
    <xf numFmtId="9" fontId="63" fillId="47" borderId="0" xfId="115" applyFont="1" applyFill="1" applyBorder="1" applyAlignment="1">
      <alignment horizontal="right" vertical="center" indent="1"/>
    </xf>
    <xf numFmtId="9" fontId="62" fillId="47" borderId="0" xfId="115" applyFont="1" applyFill="1" applyBorder="1" applyAlignment="1">
      <alignment horizontal="right" vertical="center" indent="1"/>
    </xf>
    <xf numFmtId="176" fontId="62" fillId="47" borderId="0" xfId="109" applyNumberFormat="1" applyFont="1" applyFill="1" applyBorder="1" applyAlignment="1">
      <alignment horizontal="right" vertical="center" indent="1"/>
      <protection/>
    </xf>
    <xf numFmtId="3" fontId="63" fillId="47" borderId="0" xfId="109" applyNumberFormat="1" applyFont="1" applyFill="1" applyBorder="1" applyAlignment="1">
      <alignment horizontal="right" vertical="center" indent="1"/>
      <protection/>
    </xf>
    <xf numFmtId="176" fontId="64" fillId="48" borderId="0" xfId="0" applyNumberFormat="1" applyFont="1" applyFill="1" applyAlignment="1">
      <alignment/>
    </xf>
    <xf numFmtId="176" fontId="63" fillId="47" borderId="121" xfId="0" applyNumberFormat="1" applyFont="1" applyFill="1" applyBorder="1" applyAlignment="1">
      <alignment horizontal="right" vertical="center" indent="1"/>
    </xf>
    <xf numFmtId="176" fontId="63" fillId="47" borderId="122" xfId="0" applyNumberFormat="1" applyFont="1" applyFill="1" applyBorder="1" applyAlignment="1">
      <alignment horizontal="right" vertical="center" indent="1"/>
    </xf>
    <xf numFmtId="176" fontId="45" fillId="0" borderId="123" xfId="0" applyNumberFormat="1" applyFont="1" applyFill="1" applyBorder="1" applyAlignment="1">
      <alignment horizontal="right" vertical="center" indent="1"/>
    </xf>
    <xf numFmtId="0" fontId="44" fillId="0" borderId="0" xfId="0" applyFont="1" applyFill="1" applyBorder="1" applyAlignment="1">
      <alignment/>
    </xf>
    <xf numFmtId="0" fontId="48" fillId="49" borderId="89" xfId="0" applyFont="1" applyFill="1" applyBorder="1" applyAlignment="1">
      <alignment horizontal="right" vertical="center" wrapText="1"/>
    </xf>
    <xf numFmtId="0" fontId="49" fillId="49" borderId="106" xfId="0" applyFont="1" applyFill="1" applyBorder="1" applyAlignment="1">
      <alignment horizontal="right" vertical="center" wrapText="1"/>
    </xf>
    <xf numFmtId="185" fontId="48" fillId="0" borderId="70" xfId="0" applyNumberFormat="1" applyFont="1" applyFill="1" applyBorder="1" applyAlignment="1">
      <alignment horizontal="right"/>
    </xf>
    <xf numFmtId="0" fontId="49" fillId="0" borderId="100" xfId="0" applyFont="1" applyFill="1" applyBorder="1" applyAlignment="1">
      <alignment horizontal="right" vertical="center"/>
    </xf>
    <xf numFmtId="0" fontId="48" fillId="50" borderId="81" xfId="0" applyFont="1" applyFill="1" applyBorder="1" applyAlignment="1">
      <alignment horizontal="right" vertical="center"/>
    </xf>
    <xf numFmtId="185" fontId="49" fillId="0" borderId="18" xfId="0" applyNumberFormat="1" applyFont="1" applyFill="1" applyBorder="1" applyAlignment="1">
      <alignment horizontal="right"/>
    </xf>
    <xf numFmtId="185" fontId="48" fillId="0" borderId="69" xfId="0" applyNumberFormat="1" applyFont="1" applyFill="1" applyBorder="1" applyAlignment="1">
      <alignment horizontal="right"/>
    </xf>
    <xf numFmtId="9" fontId="49" fillId="0" borderId="69" xfId="0" applyNumberFormat="1" applyFont="1" applyFill="1" applyBorder="1" applyAlignment="1">
      <alignment horizontal="right"/>
    </xf>
    <xf numFmtId="185" fontId="49" fillId="50" borderId="18" xfId="0" applyNumberFormat="1" applyFont="1" applyFill="1" applyBorder="1" applyAlignment="1">
      <alignment horizontal="right"/>
    </xf>
    <xf numFmtId="9" fontId="49" fillId="50" borderId="69" xfId="0" applyNumberFormat="1" applyFont="1" applyFill="1" applyBorder="1" applyAlignment="1">
      <alignment horizontal="right"/>
    </xf>
    <xf numFmtId="185" fontId="49" fillId="0" borderId="101" xfId="0" applyNumberFormat="1" applyFont="1" applyFill="1" applyBorder="1" applyAlignment="1">
      <alignment horizontal="right"/>
    </xf>
    <xf numFmtId="185" fontId="48" fillId="50" borderId="71" xfId="0" applyNumberFormat="1" applyFont="1" applyFill="1" applyBorder="1" applyAlignment="1">
      <alignment horizontal="right" vertical="center"/>
    </xf>
    <xf numFmtId="185" fontId="48" fillId="0" borderId="75" xfId="0" applyNumberFormat="1" applyFont="1" applyFill="1" applyBorder="1" applyAlignment="1">
      <alignment horizontal="right"/>
    </xf>
    <xf numFmtId="185" fontId="49" fillId="0" borderId="100" xfId="0" applyNumberFormat="1" applyFont="1" applyFill="1" applyBorder="1" applyAlignment="1">
      <alignment horizontal="right"/>
    </xf>
    <xf numFmtId="185" fontId="48" fillId="50" borderId="81" xfId="0" applyNumberFormat="1" applyFont="1" applyFill="1" applyBorder="1" applyAlignment="1">
      <alignment horizontal="right" vertical="center"/>
    </xf>
    <xf numFmtId="185" fontId="48" fillId="0" borderId="81" xfId="0" applyNumberFormat="1" applyFont="1" applyFill="1" applyBorder="1" applyAlignment="1">
      <alignment horizontal="right"/>
    </xf>
    <xf numFmtId="185" fontId="48" fillId="50" borderId="67" xfId="0" applyNumberFormat="1" applyFont="1" applyFill="1" applyBorder="1" applyAlignment="1">
      <alignment horizontal="right" vertical="center"/>
    </xf>
    <xf numFmtId="185" fontId="48" fillId="0" borderId="71" xfId="0" applyNumberFormat="1" applyFont="1" applyFill="1" applyBorder="1" applyAlignment="1">
      <alignment horizontal="right"/>
    </xf>
    <xf numFmtId="185" fontId="48" fillId="50" borderId="66" xfId="0" applyNumberFormat="1" applyFont="1" applyFill="1" applyBorder="1" applyAlignment="1">
      <alignment horizontal="right" vertical="center"/>
    </xf>
    <xf numFmtId="185" fontId="48" fillId="0" borderId="84" xfId="0" applyNumberFormat="1" applyFont="1" applyFill="1" applyBorder="1" applyAlignment="1">
      <alignment horizontal="right"/>
    </xf>
    <xf numFmtId="185" fontId="48" fillId="50" borderId="71" xfId="0" applyNumberFormat="1" applyFont="1" applyFill="1" applyBorder="1" applyAlignment="1">
      <alignment horizontal="right"/>
    </xf>
    <xf numFmtId="185" fontId="48" fillId="0" borderId="80" xfId="0" applyNumberFormat="1" applyFont="1" applyFill="1" applyBorder="1" applyAlignment="1">
      <alignment horizontal="right"/>
    </xf>
    <xf numFmtId="185" fontId="48" fillId="0" borderId="20" xfId="0" applyNumberFormat="1" applyFont="1" applyFill="1" applyBorder="1" applyAlignment="1">
      <alignment horizontal="right"/>
    </xf>
    <xf numFmtId="185" fontId="48" fillId="0" borderId="74" xfId="0" applyNumberFormat="1" applyFont="1" applyFill="1" applyBorder="1" applyAlignment="1">
      <alignment horizontal="right"/>
    </xf>
    <xf numFmtId="9" fontId="49" fillId="0" borderId="75" xfId="0" applyNumberFormat="1" applyFont="1" applyFill="1" applyBorder="1" applyAlignment="1">
      <alignment horizontal="right"/>
    </xf>
    <xf numFmtId="186" fontId="0" fillId="0" borderId="0" xfId="114" applyNumberFormat="1" applyFont="1" applyAlignment="1">
      <alignment/>
    </xf>
    <xf numFmtId="0" fontId="65" fillId="0" borderId="0" xfId="0" applyFont="1" applyFill="1" applyBorder="1" applyAlignment="1">
      <alignment vertical="center" wrapText="1"/>
    </xf>
    <xf numFmtId="0" fontId="44" fillId="0" borderId="18" xfId="0" applyFont="1" applyFill="1" applyBorder="1" applyAlignment="1">
      <alignment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65" fillId="0" borderId="18" xfId="0" applyFont="1" applyFill="1" applyBorder="1" applyAlignment="1">
      <alignment vertical="center" wrapText="1"/>
    </xf>
    <xf numFmtId="0" fontId="44" fillId="0" borderId="18" xfId="0" applyFont="1" applyFill="1" applyBorder="1" applyAlignment="1">
      <alignment vertical="center"/>
    </xf>
  </cellXfs>
  <cellStyles count="1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Calculation" xfId="82"/>
    <cellStyle name="Check Cell" xfId="83"/>
    <cellStyle name="Dane wejściowe" xfId="84"/>
    <cellStyle name="Dane wyjściowe" xfId="85"/>
    <cellStyle name="Dobry" xfId="86"/>
    <cellStyle name="Comma" xfId="87"/>
    <cellStyle name="Comma [0]" xfId="88"/>
    <cellStyle name="Emphasis 1" xfId="89"/>
    <cellStyle name="Emphasis 2" xfId="90"/>
    <cellStyle name="Emphasis 3" xfId="91"/>
    <cellStyle name="Explanatory Text" xfId="92"/>
    <cellStyle name="Good" xfId="93"/>
    <cellStyle name="Heading 1" xfId="94"/>
    <cellStyle name="Heading 2" xfId="95"/>
    <cellStyle name="Heading 3" xfId="96"/>
    <cellStyle name="Heading 4" xfId="97"/>
    <cellStyle name="Hyperlink" xfId="98"/>
    <cellStyle name="Input" xfId="99"/>
    <cellStyle name="Komórka połączona" xfId="100"/>
    <cellStyle name="Komórka zaznaczona" xfId="101"/>
    <cellStyle name="Linked Cell" xfId="102"/>
    <cellStyle name="Nagłówek 1" xfId="103"/>
    <cellStyle name="Nagłówek 2" xfId="104"/>
    <cellStyle name="Nagłówek 3" xfId="105"/>
    <cellStyle name="Nagłówek 4" xfId="106"/>
    <cellStyle name="Neutral" xfId="107"/>
    <cellStyle name="Neutralny" xfId="108"/>
    <cellStyle name="Normalny 2" xfId="109"/>
    <cellStyle name="Note" xfId="110"/>
    <cellStyle name="Obliczenia" xfId="111"/>
    <cellStyle name="Followed Hyperlink" xfId="112"/>
    <cellStyle name="Output" xfId="113"/>
    <cellStyle name="Percent" xfId="114"/>
    <cellStyle name="Procentowy 2" xfId="115"/>
    <cellStyle name="SAPBEXaggData" xfId="116"/>
    <cellStyle name="SAPBEXaggDataEmph" xfId="117"/>
    <cellStyle name="SAPBEXaggItem" xfId="118"/>
    <cellStyle name="SAPBEXaggItemX" xfId="119"/>
    <cellStyle name="SAPBEXchaText" xfId="120"/>
    <cellStyle name="SAPBEXexcBad7" xfId="121"/>
    <cellStyle name="SAPBEXexcBad8" xfId="122"/>
    <cellStyle name="SAPBEXexcBad9" xfId="123"/>
    <cellStyle name="SAPBEXexcCritical4" xfId="124"/>
    <cellStyle name="SAPBEXexcCritical5" xfId="125"/>
    <cellStyle name="SAPBEXexcCritical6" xfId="126"/>
    <cellStyle name="SAPBEXexcGood1" xfId="127"/>
    <cellStyle name="SAPBEXexcGood2" xfId="128"/>
    <cellStyle name="SAPBEXexcGood3" xfId="129"/>
    <cellStyle name="SAPBEXfilterDrill" xfId="130"/>
    <cellStyle name="SAPBEXfilterItem" xfId="131"/>
    <cellStyle name="SAPBEXfilterText" xfId="132"/>
    <cellStyle name="SAPBEXformats" xfId="133"/>
    <cellStyle name="SAPBEXheaderItem" xfId="134"/>
    <cellStyle name="SAPBEXheaderText" xfId="135"/>
    <cellStyle name="SAPBEXHLevel0" xfId="136"/>
    <cellStyle name="SAPBEXHLevel0X" xfId="137"/>
    <cellStyle name="SAPBEXHLevel1" xfId="138"/>
    <cellStyle name="SAPBEXHLevel1X" xfId="139"/>
    <cellStyle name="SAPBEXHLevel2" xfId="140"/>
    <cellStyle name="SAPBEXHLevel2X" xfId="141"/>
    <cellStyle name="SAPBEXHLevel3" xfId="142"/>
    <cellStyle name="SAPBEXHLevel3X" xfId="143"/>
    <cellStyle name="SAPBEXinputData" xfId="144"/>
    <cellStyle name="SAPBEXresData" xfId="145"/>
    <cellStyle name="SAPBEXresDataEmph" xfId="146"/>
    <cellStyle name="SAPBEXresItem" xfId="147"/>
    <cellStyle name="SAPBEXresItemX" xfId="148"/>
    <cellStyle name="SAPBEXstdData" xfId="149"/>
    <cellStyle name="SAPBEXstdDataEmph" xfId="150"/>
    <cellStyle name="SAPBEXstdItem" xfId="151"/>
    <cellStyle name="SAPBEXstdItemX" xfId="152"/>
    <cellStyle name="SAPBEXtitle" xfId="153"/>
    <cellStyle name="SAPBEXundefined" xfId="154"/>
    <cellStyle name="Sheet Title" xfId="155"/>
    <cellStyle name="Suma" xfId="156"/>
    <cellStyle name="Tekst objaśnienia" xfId="157"/>
    <cellStyle name="Tekst ostrzeżenia" xfId="158"/>
    <cellStyle name="Title" xfId="159"/>
    <cellStyle name="Total" xfId="160"/>
    <cellStyle name="Tytuł" xfId="161"/>
    <cellStyle name="Uwaga" xfId="162"/>
    <cellStyle name="Currency" xfId="163"/>
    <cellStyle name="Currency [0]" xfId="164"/>
    <cellStyle name="Warning Text" xfId="165"/>
    <cellStyle name="Zły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Q21"/>
  <sheetViews>
    <sheetView zoomScale="110" zoomScaleNormal="110" zoomScalePageLayoutView="0" workbookViewId="0" topLeftCell="A1">
      <selection activeCell="R24" sqref="R24"/>
    </sheetView>
  </sheetViews>
  <sheetFormatPr defaultColWidth="9.140625" defaultRowHeight="12.75"/>
  <cols>
    <col min="2" max="2" width="40.00390625" style="0" customWidth="1"/>
  </cols>
  <sheetData>
    <row r="1" ht="13.5" thickBot="1"/>
    <row r="2" spans="2:17" ht="30.75" thickBot="1">
      <c r="B2" s="402" t="s">
        <v>188</v>
      </c>
      <c r="C2" s="481">
        <v>2015</v>
      </c>
      <c r="D2" s="480" t="s">
        <v>189</v>
      </c>
      <c r="E2" s="403" t="s">
        <v>190</v>
      </c>
      <c r="F2" s="403" t="s">
        <v>191</v>
      </c>
      <c r="G2" s="404" t="s">
        <v>192</v>
      </c>
      <c r="H2" s="479">
        <v>2016</v>
      </c>
      <c r="I2" s="468" t="s">
        <v>193</v>
      </c>
      <c r="J2" s="439" t="s">
        <v>194</v>
      </c>
      <c r="K2" s="439" t="s">
        <v>195</v>
      </c>
      <c r="L2" s="439" t="s">
        <v>196</v>
      </c>
      <c r="M2" s="465" t="s">
        <v>220</v>
      </c>
      <c r="N2" s="471">
        <v>2017</v>
      </c>
      <c r="O2" s="468" t="s">
        <v>221</v>
      </c>
      <c r="P2" s="438" t="s">
        <v>232</v>
      </c>
      <c r="Q2" s="542" t="s">
        <v>233</v>
      </c>
    </row>
    <row r="3" spans="2:17" ht="12.75">
      <c r="B3" s="405" t="s">
        <v>98</v>
      </c>
      <c r="C3" s="482"/>
      <c r="D3" s="446"/>
      <c r="E3" s="447"/>
      <c r="F3" s="447"/>
      <c r="G3" s="466"/>
      <c r="H3" s="472"/>
      <c r="I3" s="406"/>
      <c r="J3" s="406"/>
      <c r="K3" s="448"/>
      <c r="L3" s="489"/>
      <c r="M3" s="544"/>
      <c r="N3" s="545"/>
      <c r="O3" s="406"/>
      <c r="P3" s="497"/>
      <c r="Q3" s="406"/>
    </row>
    <row r="4" spans="2:17" ht="12.75">
      <c r="B4" s="407" t="s">
        <v>197</v>
      </c>
      <c r="C4" s="483">
        <v>294.4</v>
      </c>
      <c r="D4" s="409">
        <v>50.6</v>
      </c>
      <c r="E4" s="410">
        <v>58.5</v>
      </c>
      <c r="F4" s="410">
        <v>56.7</v>
      </c>
      <c r="G4" s="411">
        <v>80.5</v>
      </c>
      <c r="H4" s="464">
        <v>246.4</v>
      </c>
      <c r="I4" s="491">
        <f aca="true" t="shared" si="0" ref="I4:I10">H4/C4-1</f>
        <v>-0.1630434782608695</v>
      </c>
      <c r="J4" s="413">
        <v>51</v>
      </c>
      <c r="K4" s="414">
        <v>55.4</v>
      </c>
      <c r="L4" s="414">
        <v>53.222</v>
      </c>
      <c r="M4" s="546">
        <v>73.9</v>
      </c>
      <c r="N4" s="504">
        <v>233.5</v>
      </c>
      <c r="O4" s="499">
        <f aca="true" t="shared" si="1" ref="O4:O10">N4/H4-1</f>
        <v>-0.05235389610389618</v>
      </c>
      <c r="P4" s="547">
        <v>34.512</v>
      </c>
      <c r="Q4" s="548">
        <f aca="true" t="shared" si="2" ref="Q4:Q10">P4/J4-1</f>
        <v>-0.32329411764705884</v>
      </c>
    </row>
    <row r="5" spans="2:17" ht="12.75">
      <c r="B5" s="407" t="s">
        <v>198</v>
      </c>
      <c r="C5" s="483">
        <v>264.8</v>
      </c>
      <c r="D5" s="409">
        <v>65.6</v>
      </c>
      <c r="E5" s="410">
        <v>73.6</v>
      </c>
      <c r="F5" s="410">
        <v>69.8</v>
      </c>
      <c r="G5" s="411">
        <v>56</v>
      </c>
      <c r="H5" s="464">
        <v>265.1</v>
      </c>
      <c r="I5" s="491">
        <f t="shared" si="0"/>
        <v>0.0011329305135951984</v>
      </c>
      <c r="J5" s="413">
        <v>65.6</v>
      </c>
      <c r="K5" s="414">
        <v>66.8</v>
      </c>
      <c r="L5" s="414">
        <v>64.3</v>
      </c>
      <c r="M5" s="546">
        <v>63.201</v>
      </c>
      <c r="N5" s="504">
        <v>259.9</v>
      </c>
      <c r="O5" s="499">
        <f t="shared" si="1"/>
        <v>-0.019615239532252193</v>
      </c>
      <c r="P5" s="547">
        <v>64.734</v>
      </c>
      <c r="Q5" s="548">
        <f t="shared" si="2"/>
        <v>-0.013201219512195106</v>
      </c>
    </row>
    <row r="6" spans="2:17" ht="12.75">
      <c r="B6" s="407" t="s">
        <v>199</v>
      </c>
      <c r="C6" s="483">
        <v>12.2</v>
      </c>
      <c r="D6" s="409">
        <v>3.3</v>
      </c>
      <c r="E6" s="410">
        <v>3.4</v>
      </c>
      <c r="F6" s="410">
        <v>3.5</v>
      </c>
      <c r="G6" s="411">
        <v>2.8</v>
      </c>
      <c r="H6" s="464">
        <v>13.1</v>
      </c>
      <c r="I6" s="491">
        <f t="shared" si="0"/>
        <v>0.07377049180327866</v>
      </c>
      <c r="J6" s="413">
        <v>3</v>
      </c>
      <c r="K6" s="414">
        <v>3.3</v>
      </c>
      <c r="L6" s="414">
        <v>3.2</v>
      </c>
      <c r="M6" s="546">
        <v>3.4</v>
      </c>
      <c r="N6" s="504">
        <v>12.9</v>
      </c>
      <c r="O6" s="499">
        <f t="shared" si="1"/>
        <v>-0.015267175572518998</v>
      </c>
      <c r="P6" s="547">
        <v>3.23</v>
      </c>
      <c r="Q6" s="548">
        <f t="shared" si="2"/>
        <v>0.07666666666666666</v>
      </c>
    </row>
    <row r="7" spans="2:17" ht="12.75">
      <c r="B7" s="405" t="s">
        <v>222</v>
      </c>
      <c r="C7" s="483">
        <v>571.4</v>
      </c>
      <c r="D7" s="412" t="s">
        <v>200</v>
      </c>
      <c r="E7" s="415">
        <v>135.6</v>
      </c>
      <c r="F7" s="415">
        <v>130.1</v>
      </c>
      <c r="G7" s="416">
        <v>139.2</v>
      </c>
      <c r="H7" s="464">
        <f>SUM(H4:H6)</f>
        <v>524.6</v>
      </c>
      <c r="I7" s="492">
        <f t="shared" si="0"/>
        <v>-0.08190409520476016</v>
      </c>
      <c r="J7" s="464">
        <v>119.3</v>
      </c>
      <c r="K7" s="426">
        <f>SUM(K4:K6)</f>
        <v>125.49999999999999</v>
      </c>
      <c r="L7" s="426">
        <f>SUM(L4:L6)</f>
        <v>120.722</v>
      </c>
      <c r="M7" s="549">
        <f>ROUND(SUM(M4:M6),2)</f>
        <v>140.5</v>
      </c>
      <c r="N7" s="504">
        <f>SUM(N4:N6)</f>
        <v>506.29999999999995</v>
      </c>
      <c r="O7" s="505">
        <f t="shared" si="1"/>
        <v>-0.03488372093023273</v>
      </c>
      <c r="P7" s="464">
        <f>SUM(P4:P6)</f>
        <v>102.476</v>
      </c>
      <c r="Q7" s="550">
        <f t="shared" si="2"/>
        <v>-0.14102263202011733</v>
      </c>
    </row>
    <row r="8" spans="2:17" ht="12.75">
      <c r="B8" s="407" t="s">
        <v>201</v>
      </c>
      <c r="C8" s="483">
        <v>1245</v>
      </c>
      <c r="D8" s="409">
        <v>216.4</v>
      </c>
      <c r="E8" s="410">
        <v>328.1</v>
      </c>
      <c r="F8" s="410">
        <v>301.2</v>
      </c>
      <c r="G8" s="411">
        <v>343</v>
      </c>
      <c r="H8" s="464">
        <v>1188.7</v>
      </c>
      <c r="I8" s="491">
        <f t="shared" si="0"/>
        <v>-0.04522088353413656</v>
      </c>
      <c r="J8" s="413">
        <v>247</v>
      </c>
      <c r="K8" s="414">
        <v>308</v>
      </c>
      <c r="L8" s="414">
        <v>258</v>
      </c>
      <c r="M8" s="546">
        <v>372</v>
      </c>
      <c r="N8" s="504">
        <v>1185</v>
      </c>
      <c r="O8" s="499">
        <f t="shared" si="1"/>
        <v>-0.003112644064944936</v>
      </c>
      <c r="P8" s="547">
        <v>207</v>
      </c>
      <c r="Q8" s="548">
        <f t="shared" si="2"/>
        <v>-0.16194331983805665</v>
      </c>
    </row>
    <row r="9" spans="2:17" ht="12.75">
      <c r="B9" s="407" t="s">
        <v>202</v>
      </c>
      <c r="C9" s="483">
        <v>2660</v>
      </c>
      <c r="D9" s="409">
        <v>857</v>
      </c>
      <c r="E9" s="410">
        <v>751</v>
      </c>
      <c r="F9" s="410">
        <v>1032</v>
      </c>
      <c r="G9" s="411">
        <v>859</v>
      </c>
      <c r="H9" s="464">
        <v>3499</v>
      </c>
      <c r="I9" s="491">
        <f t="shared" si="0"/>
        <v>0.3154135338345865</v>
      </c>
      <c r="J9" s="413">
        <v>960</v>
      </c>
      <c r="K9" s="414">
        <v>865</v>
      </c>
      <c r="L9" s="414">
        <v>908</v>
      </c>
      <c r="M9" s="546">
        <v>909</v>
      </c>
      <c r="N9" s="504">
        <f>SUM(J9:M9)</f>
        <v>3642</v>
      </c>
      <c r="O9" s="499">
        <f t="shared" si="1"/>
        <v>0.04086881966276068</v>
      </c>
      <c r="P9" s="547">
        <v>631.2</v>
      </c>
      <c r="Q9" s="548">
        <f t="shared" si="2"/>
        <v>-0.3424999999999999</v>
      </c>
    </row>
    <row r="10" spans="2:17" ht="13.5" thickBot="1">
      <c r="B10" s="407" t="s">
        <v>203</v>
      </c>
      <c r="C10" s="483">
        <v>30.4</v>
      </c>
      <c r="D10" s="418">
        <v>7.4</v>
      </c>
      <c r="E10" s="419">
        <v>8.2</v>
      </c>
      <c r="F10" s="419">
        <v>6.2</v>
      </c>
      <c r="G10" s="420">
        <v>7.8</v>
      </c>
      <c r="H10" s="473">
        <v>29.7</v>
      </c>
      <c r="I10" s="493">
        <f t="shared" si="0"/>
        <v>-0.023026315789473673</v>
      </c>
      <c r="J10" s="421">
        <v>7.6</v>
      </c>
      <c r="K10" s="422">
        <v>7</v>
      </c>
      <c r="L10" s="422">
        <v>7.5</v>
      </c>
      <c r="M10" s="551">
        <v>7.5</v>
      </c>
      <c r="N10" s="552">
        <v>29.6</v>
      </c>
      <c r="O10" s="500">
        <f t="shared" si="1"/>
        <v>-0.0033670033670032407</v>
      </c>
      <c r="P10" s="553">
        <v>7.4</v>
      </c>
      <c r="Q10" s="548">
        <f t="shared" si="2"/>
        <v>-0.02631578947368407</v>
      </c>
    </row>
    <row r="11" spans="2:17" ht="12.75">
      <c r="B11" s="405" t="s">
        <v>204</v>
      </c>
      <c r="C11" s="484"/>
      <c r="D11" s="433"/>
      <c r="E11" s="434"/>
      <c r="F11" s="434"/>
      <c r="G11" s="435"/>
      <c r="H11" s="477"/>
      <c r="I11" s="494"/>
      <c r="J11" s="436"/>
      <c r="K11" s="437"/>
      <c r="L11" s="437"/>
      <c r="M11" s="554"/>
      <c r="N11" s="555"/>
      <c r="O11" s="501"/>
      <c r="P11" s="556"/>
      <c r="Q11" s="494"/>
    </row>
    <row r="12" spans="2:17" ht="12.75">
      <c r="B12" s="407" t="s">
        <v>205</v>
      </c>
      <c r="C12" s="483">
        <v>98.9</v>
      </c>
      <c r="D12" s="409">
        <v>22.6</v>
      </c>
      <c r="E12" s="410">
        <v>22</v>
      </c>
      <c r="F12" s="410">
        <v>21.1</v>
      </c>
      <c r="G12" s="411">
        <v>24.6</v>
      </c>
      <c r="H12" s="475">
        <v>90.2</v>
      </c>
      <c r="I12" s="495">
        <f>H12/C12-1</f>
        <v>-0.0879676440849343</v>
      </c>
      <c r="J12" s="413">
        <v>17.2</v>
      </c>
      <c r="K12" s="414">
        <v>19.2</v>
      </c>
      <c r="L12" s="414">
        <v>18.2</v>
      </c>
      <c r="M12" s="546">
        <v>25.4</v>
      </c>
      <c r="N12" s="557">
        <f>SUM(J12:M12)</f>
        <v>80</v>
      </c>
      <c r="O12" s="499">
        <f>N12/H12-1</f>
        <v>-0.11308203991130827</v>
      </c>
      <c r="P12" s="498">
        <v>17.3</v>
      </c>
      <c r="Q12" s="548">
        <f>P12/J12-1</f>
        <v>0.005813953488372103</v>
      </c>
    </row>
    <row r="13" spans="2:17" ht="12.75">
      <c r="B13" s="407" t="s">
        <v>206</v>
      </c>
      <c r="C13" s="483">
        <v>2.2</v>
      </c>
      <c r="D13" s="409">
        <v>0.5</v>
      </c>
      <c r="E13" s="410">
        <v>0.6</v>
      </c>
      <c r="F13" s="410">
        <v>0.5</v>
      </c>
      <c r="G13" s="411">
        <v>0.5</v>
      </c>
      <c r="H13" s="475">
        <v>2.1</v>
      </c>
      <c r="I13" s="495">
        <f>H13/C13-1</f>
        <v>-0.045454545454545525</v>
      </c>
      <c r="J13" s="413">
        <v>0.3</v>
      </c>
      <c r="K13" s="414">
        <v>0.3</v>
      </c>
      <c r="L13" s="414">
        <v>0.2</v>
      </c>
      <c r="M13" s="546">
        <v>0.3</v>
      </c>
      <c r="N13" s="557">
        <f>SUM(J13:M13)</f>
        <v>1.1</v>
      </c>
      <c r="O13" s="499">
        <f>N13/H13-1</f>
        <v>-0.47619047619047616</v>
      </c>
      <c r="P13" s="498">
        <v>0.2</v>
      </c>
      <c r="Q13" s="548">
        <f>P13/J13-1</f>
        <v>-0.33333333333333326</v>
      </c>
    </row>
    <row r="14" spans="2:17" ht="13.5" thickBot="1">
      <c r="B14" s="407" t="s">
        <v>207</v>
      </c>
      <c r="C14" s="483">
        <v>97</v>
      </c>
      <c r="D14" s="418">
        <v>23</v>
      </c>
      <c r="E14" s="419">
        <v>24.7</v>
      </c>
      <c r="F14" s="419">
        <v>21.7</v>
      </c>
      <c r="G14" s="420">
        <v>25</v>
      </c>
      <c r="H14" s="478">
        <v>94.3</v>
      </c>
      <c r="I14" s="496">
        <f>H14/C14-1</f>
        <v>-0.027835051546391765</v>
      </c>
      <c r="J14" s="421">
        <v>13.8</v>
      </c>
      <c r="K14" s="422">
        <v>19.9</v>
      </c>
      <c r="L14" s="422">
        <v>17.1</v>
      </c>
      <c r="M14" s="551">
        <v>21.8</v>
      </c>
      <c r="N14" s="557">
        <f>SUM(J14:M14)</f>
        <v>72.60000000000001</v>
      </c>
      <c r="O14" s="502">
        <f>N14/H14-1</f>
        <v>-0.23011664899257678</v>
      </c>
      <c r="P14" s="558">
        <v>13.9</v>
      </c>
      <c r="Q14" s="548">
        <f>P14/J14-1</f>
        <v>0.007246376811594235</v>
      </c>
    </row>
    <row r="15" spans="2:17" ht="12.75">
      <c r="B15" s="405" t="s">
        <v>215</v>
      </c>
      <c r="C15" s="485"/>
      <c r="D15" s="443"/>
      <c r="E15" s="444"/>
      <c r="F15" s="444"/>
      <c r="G15" s="467"/>
      <c r="H15" s="490"/>
      <c r="I15" s="486"/>
      <c r="J15" s="434"/>
      <c r="K15" s="450"/>
      <c r="L15" s="434"/>
      <c r="M15" s="434"/>
      <c r="N15" s="559"/>
      <c r="O15" s="503"/>
      <c r="P15" s="560"/>
      <c r="Q15" s="494"/>
    </row>
    <row r="16" spans="2:17" ht="12.75">
      <c r="B16" s="407" t="s">
        <v>205</v>
      </c>
      <c r="C16" s="408">
        <v>28.2</v>
      </c>
      <c r="D16" s="409">
        <v>12.6</v>
      </c>
      <c r="E16" s="410">
        <v>11.4</v>
      </c>
      <c r="F16" s="410">
        <v>13.6</v>
      </c>
      <c r="G16" s="411">
        <v>14.4</v>
      </c>
      <c r="H16" s="504">
        <v>52</v>
      </c>
      <c r="I16" s="487">
        <f>H16/C16-1</f>
        <v>0.8439716312056738</v>
      </c>
      <c r="J16" s="410">
        <v>14.5</v>
      </c>
      <c r="K16" s="410">
        <v>13</v>
      </c>
      <c r="L16" s="410">
        <v>13.6</v>
      </c>
      <c r="M16" s="410">
        <v>13</v>
      </c>
      <c r="N16" s="475">
        <f>SUM(J16:M16)</f>
        <v>54.1</v>
      </c>
      <c r="O16" s="499">
        <f>N16/H16-1</f>
        <v>0.04038461538461546</v>
      </c>
      <c r="P16" s="563">
        <v>12.6</v>
      </c>
      <c r="Q16" s="548">
        <f>P16/J16-1</f>
        <v>-0.13103448275862073</v>
      </c>
    </row>
    <row r="17" spans="2:17" ht="13.5" thickBot="1">
      <c r="B17" s="407" t="s">
        <v>216</v>
      </c>
      <c r="C17" s="417">
        <v>2.4</v>
      </c>
      <c r="D17" s="418">
        <v>3.1</v>
      </c>
      <c r="E17" s="419">
        <v>4.8</v>
      </c>
      <c r="F17" s="419">
        <v>2</v>
      </c>
      <c r="G17" s="420">
        <v>3.4</v>
      </c>
      <c r="H17" s="561">
        <v>13.3</v>
      </c>
      <c r="I17" s="488">
        <f>H17/C17-1</f>
        <v>4.541666666666667</v>
      </c>
      <c r="J17" s="419">
        <v>2.6</v>
      </c>
      <c r="K17" s="419">
        <v>4.6</v>
      </c>
      <c r="L17" s="419">
        <v>6</v>
      </c>
      <c r="M17" s="419">
        <v>6.2</v>
      </c>
      <c r="N17" s="478">
        <f>SUM(J17:M17)</f>
        <v>19.4</v>
      </c>
      <c r="O17" s="502">
        <v>0.47</v>
      </c>
      <c r="P17" s="564">
        <v>4.1</v>
      </c>
      <c r="Q17" s="565">
        <f>P17/J17-1</f>
        <v>0.5769230769230766</v>
      </c>
    </row>
    <row r="18" ht="12.75">
      <c r="B18" s="509"/>
    </row>
    <row r="19" ht="12.75">
      <c r="B19" s="423" t="s">
        <v>208</v>
      </c>
    </row>
    <row r="20" ht="12.75">
      <c r="B20" s="423" t="s">
        <v>209</v>
      </c>
    </row>
    <row r="21" spans="2:5" ht="12.75">
      <c r="B21" s="423" t="s">
        <v>223</v>
      </c>
      <c r="C21" s="423"/>
      <c r="D21" s="423"/>
      <c r="E21" s="423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72"/>
  <sheetViews>
    <sheetView showGridLines="0" tabSelected="1" zoomScale="110" zoomScaleNormal="110" zoomScaleSheetLayoutView="100" zoomScalePageLayoutView="0" workbookViewId="0" topLeftCell="A1">
      <pane xSplit="3" ySplit="10" topLeftCell="Q5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30" sqref="B30"/>
    </sheetView>
  </sheetViews>
  <sheetFormatPr defaultColWidth="9.140625" defaultRowHeight="12.75"/>
  <cols>
    <col min="1" max="1" width="3.28125" style="114" customWidth="1"/>
    <col min="2" max="2" width="55.57421875" style="114" bestFit="1" customWidth="1"/>
    <col min="3" max="3" width="0.9921875" style="196" customWidth="1"/>
    <col min="4" max="8" width="10.7109375" style="114" customWidth="1"/>
    <col min="9" max="9" width="0.9921875" style="114" customWidth="1"/>
    <col min="10" max="14" width="10.7109375" style="114" customWidth="1"/>
    <col min="15" max="15" width="0.9921875" style="196" customWidth="1"/>
    <col min="16" max="16" width="10.57421875" style="114" customWidth="1"/>
    <col min="17" max="26" width="10.7109375" style="114" customWidth="1"/>
    <col min="27" max="16384" width="8.8515625" style="114" customWidth="1"/>
  </cols>
  <sheetData>
    <row r="2" spans="1:15" s="95" customFormat="1" ht="15">
      <c r="A2" s="92"/>
      <c r="B2" s="93" t="s">
        <v>60</v>
      </c>
      <c r="C2" s="94"/>
      <c r="I2" s="96"/>
      <c r="O2" s="97"/>
    </row>
    <row r="3" spans="1:15" s="95" customFormat="1" ht="15">
      <c r="A3" s="92"/>
      <c r="B3" s="93"/>
      <c r="C3" s="94"/>
      <c r="I3" s="96"/>
      <c r="O3" s="97"/>
    </row>
    <row r="4" spans="2:26" s="98" customFormat="1" ht="12" customHeight="1">
      <c r="B4" s="99" t="s">
        <v>57</v>
      </c>
      <c r="C4" s="99"/>
      <c r="D4" s="100"/>
      <c r="E4" s="100"/>
      <c r="F4" s="100"/>
      <c r="G4" s="100"/>
      <c r="H4" s="101"/>
      <c r="I4" s="102"/>
      <c r="J4" s="100"/>
      <c r="K4" s="100"/>
      <c r="L4" s="100"/>
      <c r="M4" s="100"/>
      <c r="N4" s="101"/>
      <c r="O4" s="63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63"/>
    </row>
    <row r="5" spans="2:26" s="98" customFormat="1" ht="12" customHeight="1">
      <c r="B5" s="103" t="s">
        <v>53</v>
      </c>
      <c r="C5" s="104"/>
      <c r="D5" s="201">
        <v>7041</v>
      </c>
      <c r="E5" s="105">
        <v>6787</v>
      </c>
      <c r="F5" s="105">
        <v>6994</v>
      </c>
      <c r="G5" s="105">
        <v>6624</v>
      </c>
      <c r="H5" s="105">
        <v>6862</v>
      </c>
      <c r="I5" s="106"/>
      <c r="J5" s="201">
        <v>5818</v>
      </c>
      <c r="K5" s="105">
        <v>6043</v>
      </c>
      <c r="L5" s="105">
        <v>5259</v>
      </c>
      <c r="M5" s="105">
        <v>4892</v>
      </c>
      <c r="N5" s="105">
        <v>5495</v>
      </c>
      <c r="O5" s="107"/>
      <c r="P5" s="201">
        <v>4672</v>
      </c>
      <c r="Q5" s="105">
        <v>4729</v>
      </c>
      <c r="R5" s="105">
        <v>4772</v>
      </c>
      <c r="S5" s="105">
        <v>5277</v>
      </c>
      <c r="T5" s="105">
        <v>4863</v>
      </c>
      <c r="U5" s="201">
        <v>5831</v>
      </c>
      <c r="V5" s="105">
        <v>5662</v>
      </c>
      <c r="W5" s="105">
        <v>6349</v>
      </c>
      <c r="X5" s="105">
        <v>6808</v>
      </c>
      <c r="Y5" s="105">
        <v>6166</v>
      </c>
      <c r="Z5" s="535">
        <v>6961</v>
      </c>
    </row>
    <row r="6" spans="2:26" s="98" customFormat="1" ht="12" customHeight="1">
      <c r="B6" s="103" t="s">
        <v>54</v>
      </c>
      <c r="C6" s="104"/>
      <c r="D6" s="202">
        <v>20.48</v>
      </c>
      <c r="E6" s="108">
        <v>19.62</v>
      </c>
      <c r="F6" s="108">
        <v>19.76</v>
      </c>
      <c r="G6" s="108">
        <v>16.5</v>
      </c>
      <c r="H6" s="108">
        <v>19.08</v>
      </c>
      <c r="I6" s="109"/>
      <c r="J6" s="202">
        <v>16.71</v>
      </c>
      <c r="K6" s="108">
        <v>16.39</v>
      </c>
      <c r="L6" s="108">
        <v>14.91</v>
      </c>
      <c r="M6" s="108">
        <v>14.77</v>
      </c>
      <c r="N6" s="108">
        <v>15.68</v>
      </c>
      <c r="O6" s="110"/>
      <c r="P6" s="202">
        <v>14.85</v>
      </c>
      <c r="Q6" s="108">
        <v>16.78</v>
      </c>
      <c r="R6" s="108">
        <v>19.61</v>
      </c>
      <c r="S6" s="108">
        <v>17.19</v>
      </c>
      <c r="T6" s="108">
        <v>17.14</v>
      </c>
      <c r="U6" s="202">
        <v>17.42</v>
      </c>
      <c r="V6" s="108">
        <v>17.21</v>
      </c>
      <c r="W6" s="108">
        <v>16.84</v>
      </c>
      <c r="X6" s="108">
        <v>16.73</v>
      </c>
      <c r="Y6" s="108">
        <v>17.05</v>
      </c>
      <c r="Z6" s="530">
        <v>16.77</v>
      </c>
    </row>
    <row r="7" spans="2:26" s="98" customFormat="1" ht="12" customHeight="1">
      <c r="B7" s="103" t="s">
        <v>55</v>
      </c>
      <c r="C7" s="104"/>
      <c r="D7" s="202">
        <v>3.06</v>
      </c>
      <c r="E7" s="108">
        <v>3.04</v>
      </c>
      <c r="F7" s="108">
        <v>3.15</v>
      </c>
      <c r="G7" s="108">
        <v>3.37</v>
      </c>
      <c r="H7" s="111">
        <v>3.15</v>
      </c>
      <c r="I7" s="109"/>
      <c r="J7" s="202">
        <v>3.73</v>
      </c>
      <c r="K7" s="108">
        <v>3.7</v>
      </c>
      <c r="L7" s="108">
        <v>3.77</v>
      </c>
      <c r="M7" s="108">
        <v>3.89</v>
      </c>
      <c r="N7" s="108">
        <v>3.77</v>
      </c>
      <c r="O7" s="110"/>
      <c r="P7" s="202">
        <v>3.96</v>
      </c>
      <c r="Q7" s="108">
        <v>3.87</v>
      </c>
      <c r="R7" s="108">
        <v>3.89</v>
      </c>
      <c r="S7" s="108">
        <v>4.06</v>
      </c>
      <c r="T7" s="108">
        <v>3.94</v>
      </c>
      <c r="U7" s="202">
        <v>4.0584828125</v>
      </c>
      <c r="V7" s="108">
        <v>3.8306918032786883</v>
      </c>
      <c r="W7" s="108">
        <v>3.63</v>
      </c>
      <c r="X7" s="108">
        <v>3.6</v>
      </c>
      <c r="Y7" s="108">
        <v>3.78</v>
      </c>
      <c r="Z7" s="530">
        <v>3.4009</v>
      </c>
    </row>
    <row r="8" spans="2:26" s="98" customFormat="1" ht="12" customHeight="1">
      <c r="B8" s="103" t="s">
        <v>56</v>
      </c>
      <c r="C8" s="104"/>
      <c r="D8" s="202">
        <v>3.0344</v>
      </c>
      <c r="E8" s="108">
        <v>3.0473</v>
      </c>
      <c r="F8" s="108">
        <v>3.2973</v>
      </c>
      <c r="G8" s="108">
        <v>3.5072</v>
      </c>
      <c r="H8" s="108">
        <f>+G8</f>
        <v>3.5072</v>
      </c>
      <c r="I8" s="109"/>
      <c r="J8" s="202">
        <v>3.8125</v>
      </c>
      <c r="K8" s="108">
        <v>3.7645</v>
      </c>
      <c r="L8" s="108">
        <v>3.7754</v>
      </c>
      <c r="M8" s="108">
        <v>3.9011</v>
      </c>
      <c r="N8" s="108">
        <f>+M8</f>
        <v>3.9011</v>
      </c>
      <c r="O8" s="110"/>
      <c r="P8" s="202">
        <v>3.759</v>
      </c>
      <c r="Q8" s="108">
        <v>3.9803</v>
      </c>
      <c r="R8" s="108">
        <v>3.8558</v>
      </c>
      <c r="S8" s="108">
        <v>4.1793</v>
      </c>
      <c r="T8" s="108">
        <f>+S8</f>
        <v>4.1793</v>
      </c>
      <c r="U8" s="202">
        <v>3.95</v>
      </c>
      <c r="V8" s="108">
        <v>3.71</v>
      </c>
      <c r="W8" s="108">
        <v>3.65</v>
      </c>
      <c r="X8" s="108">
        <v>3.48</v>
      </c>
      <c r="Y8" s="108">
        <v>3.48</v>
      </c>
      <c r="Z8" s="530">
        <v>3.4139</v>
      </c>
    </row>
    <row r="9" spans="1:26" ht="11.25">
      <c r="A9" s="112"/>
      <c r="B9" s="99"/>
      <c r="C9" s="99"/>
      <c r="D9" s="203"/>
      <c r="E9" s="112"/>
      <c r="F9" s="112"/>
      <c r="G9" s="112"/>
      <c r="H9" s="112"/>
      <c r="I9" s="113"/>
      <c r="J9" s="203"/>
      <c r="K9" s="113"/>
      <c r="L9" s="113"/>
      <c r="M9" s="113"/>
      <c r="N9" s="112"/>
      <c r="O9" s="112"/>
      <c r="P9" s="203"/>
      <c r="Q9" s="112"/>
      <c r="R9" s="112"/>
      <c r="S9" s="112"/>
      <c r="T9" s="112"/>
      <c r="U9" s="203"/>
      <c r="V9" s="112"/>
      <c r="W9" s="112"/>
      <c r="X9" s="112"/>
      <c r="Y9" s="112"/>
      <c r="Z9" s="112"/>
    </row>
    <row r="10" spans="1:26" ht="11.25">
      <c r="A10" s="115"/>
      <c r="B10" s="99" t="s">
        <v>40</v>
      </c>
      <c r="C10" s="99"/>
      <c r="D10" s="204" t="s">
        <v>5</v>
      </c>
      <c r="E10" s="101" t="s">
        <v>6</v>
      </c>
      <c r="F10" s="101" t="s">
        <v>7</v>
      </c>
      <c r="G10" s="101" t="s">
        <v>8</v>
      </c>
      <c r="H10" s="101">
        <v>2014</v>
      </c>
      <c r="I10" s="117"/>
      <c r="J10" s="222" t="s">
        <v>9</v>
      </c>
      <c r="K10" s="101" t="s">
        <v>10</v>
      </c>
      <c r="L10" s="101" t="s">
        <v>11</v>
      </c>
      <c r="M10" s="101" t="s">
        <v>12</v>
      </c>
      <c r="N10" s="101">
        <v>2015</v>
      </c>
      <c r="O10" s="63"/>
      <c r="P10" s="222" t="s">
        <v>13</v>
      </c>
      <c r="Q10" s="101" t="s">
        <v>14</v>
      </c>
      <c r="R10" s="101" t="s">
        <v>15</v>
      </c>
      <c r="S10" s="101" t="s">
        <v>16</v>
      </c>
      <c r="T10" s="116">
        <v>2016</v>
      </c>
      <c r="U10" s="204" t="s">
        <v>63</v>
      </c>
      <c r="V10" s="116" t="s">
        <v>64</v>
      </c>
      <c r="W10" s="116" t="s">
        <v>68</v>
      </c>
      <c r="X10" s="116" t="s">
        <v>69</v>
      </c>
      <c r="Y10" s="63">
        <v>2017</v>
      </c>
      <c r="Z10" s="101" t="s">
        <v>224</v>
      </c>
    </row>
    <row r="11" spans="1:26" s="125" customFormat="1" ht="11.25">
      <c r="A11" s="118"/>
      <c r="B11" s="119" t="s">
        <v>228</v>
      </c>
      <c r="C11" s="120"/>
      <c r="D11" s="205">
        <v>4650</v>
      </c>
      <c r="E11" s="122">
        <v>4878</v>
      </c>
      <c r="F11" s="122">
        <v>5188</v>
      </c>
      <c r="G11" s="122">
        <v>5776</v>
      </c>
      <c r="H11" s="122">
        <v>20492</v>
      </c>
      <c r="I11" s="123"/>
      <c r="J11" s="207">
        <v>4731</v>
      </c>
      <c r="K11" s="122">
        <v>5329</v>
      </c>
      <c r="L11" s="122">
        <v>4800</v>
      </c>
      <c r="M11" s="122">
        <f>N11-SUM(J11:L11)</f>
        <v>5148</v>
      </c>
      <c r="N11" s="122">
        <v>20008</v>
      </c>
      <c r="O11" s="124"/>
      <c r="P11" s="207">
        <v>3912</v>
      </c>
      <c r="Q11" s="122">
        <v>4544</v>
      </c>
      <c r="R11" s="122">
        <v>4685</v>
      </c>
      <c r="S11" s="122">
        <v>6015</v>
      </c>
      <c r="T11" s="121">
        <v>19156</v>
      </c>
      <c r="U11" s="205">
        <v>4911</v>
      </c>
      <c r="V11" s="121">
        <f>9713-4911</f>
        <v>4802</v>
      </c>
      <c r="W11" s="121">
        <v>4774</v>
      </c>
      <c r="X11" s="121">
        <f>20358-U11-V11-W11</f>
        <v>5871</v>
      </c>
      <c r="Y11" s="121">
        <f aca="true" t="shared" si="0" ref="Y11:Y38">U11+V11+W11+X11</f>
        <v>20358</v>
      </c>
      <c r="Z11" s="534">
        <v>4266</v>
      </c>
    </row>
    <row r="12" spans="1:26" s="132" customFormat="1" ht="11.25">
      <c r="A12" s="126"/>
      <c r="B12" s="127" t="s">
        <v>34</v>
      </c>
      <c r="C12" s="128"/>
      <c r="D12" s="206">
        <v>3800</v>
      </c>
      <c r="E12" s="129">
        <v>3927</v>
      </c>
      <c r="F12" s="129">
        <v>4116</v>
      </c>
      <c r="G12" s="129">
        <v>4790</v>
      </c>
      <c r="H12" s="129">
        <v>16633</v>
      </c>
      <c r="I12" s="130"/>
      <c r="J12" s="206">
        <v>3767</v>
      </c>
      <c r="K12" s="129">
        <v>4325</v>
      </c>
      <c r="L12" s="129">
        <v>3681</v>
      </c>
      <c r="M12" s="129">
        <v>4166</v>
      </c>
      <c r="N12" s="129">
        <v>15939</v>
      </c>
      <c r="O12" s="131"/>
      <c r="P12" s="206">
        <v>2979</v>
      </c>
      <c r="Q12" s="129">
        <v>3561</v>
      </c>
      <c r="R12" s="129">
        <v>3744</v>
      </c>
      <c r="S12" s="129">
        <v>4828</v>
      </c>
      <c r="T12" s="129">
        <v>15112</v>
      </c>
      <c r="U12" s="206">
        <v>3896</v>
      </c>
      <c r="V12" s="129">
        <f>7701-3896</f>
        <v>3805</v>
      </c>
      <c r="W12" s="129">
        <f>11433-3896-3805</f>
        <v>3732</v>
      </c>
      <c r="X12" s="129">
        <f>16024-U12-V12-W12</f>
        <v>4591</v>
      </c>
      <c r="Y12" s="129">
        <f t="shared" si="0"/>
        <v>16024</v>
      </c>
      <c r="Z12" s="529">
        <v>3206</v>
      </c>
    </row>
    <row r="13" spans="1:26" s="132" customFormat="1" ht="11.25">
      <c r="A13" s="126"/>
      <c r="B13" s="127" t="s">
        <v>35</v>
      </c>
      <c r="C13" s="128"/>
      <c r="D13" s="206">
        <v>452</v>
      </c>
      <c r="E13" s="129">
        <v>544</v>
      </c>
      <c r="F13" s="129">
        <v>657</v>
      </c>
      <c r="G13" s="129">
        <v>576</v>
      </c>
      <c r="H13" s="129">
        <v>2229</v>
      </c>
      <c r="I13" s="130"/>
      <c r="J13" s="206">
        <v>619</v>
      </c>
      <c r="K13" s="129">
        <v>605</v>
      </c>
      <c r="L13" s="129">
        <v>738</v>
      </c>
      <c r="M13" s="129">
        <v>615</v>
      </c>
      <c r="N13" s="129">
        <v>2577</v>
      </c>
      <c r="O13" s="131"/>
      <c r="P13" s="206">
        <v>588</v>
      </c>
      <c r="Q13" s="129">
        <v>610</v>
      </c>
      <c r="R13" s="129">
        <v>566</v>
      </c>
      <c r="S13" s="129">
        <v>771</v>
      </c>
      <c r="T13" s="129">
        <v>2535</v>
      </c>
      <c r="U13" s="206">
        <v>580</v>
      </c>
      <c r="V13" s="129">
        <f>1181-580</f>
        <v>601</v>
      </c>
      <c r="W13" s="129">
        <f>1793-580-601</f>
        <v>612</v>
      </c>
      <c r="X13" s="129">
        <f>2602-U13-V13-W13</f>
        <v>809</v>
      </c>
      <c r="Y13" s="129">
        <f t="shared" si="0"/>
        <v>2602</v>
      </c>
      <c r="Z13" s="529">
        <v>609</v>
      </c>
    </row>
    <row r="14" spans="1:26" s="125" customFormat="1" ht="11.25">
      <c r="A14" s="118"/>
      <c r="B14" s="133" t="s">
        <v>1</v>
      </c>
      <c r="C14" s="120"/>
      <c r="D14" s="207">
        <v>-3664</v>
      </c>
      <c r="E14" s="122">
        <v>-3633</v>
      </c>
      <c r="F14" s="122">
        <v>-3926</v>
      </c>
      <c r="G14" s="122">
        <v>-4528</v>
      </c>
      <c r="H14" s="122">
        <v>-15751</v>
      </c>
      <c r="I14" s="123"/>
      <c r="J14" s="207">
        <v>-3709</v>
      </c>
      <c r="K14" s="122">
        <v>-3972</v>
      </c>
      <c r="L14" s="122">
        <v>-3928</v>
      </c>
      <c r="M14" s="122">
        <v>-6550</v>
      </c>
      <c r="N14" s="122">
        <v>-18159</v>
      </c>
      <c r="O14" s="124"/>
      <c r="P14" s="207">
        <v>-3138</v>
      </c>
      <c r="Q14" s="122">
        <v>-3566</v>
      </c>
      <c r="R14" s="122">
        <v>-3651</v>
      </c>
      <c r="S14" s="122">
        <v>-4887</v>
      </c>
      <c r="T14" s="122">
        <v>-15242</v>
      </c>
      <c r="U14" s="207">
        <v>-3548</v>
      </c>
      <c r="V14" s="122">
        <f>-7215+3548</f>
        <v>-3667</v>
      </c>
      <c r="W14" s="122">
        <v>-3574</v>
      </c>
      <c r="X14" s="122">
        <f>-15204-U14-V14-W14</f>
        <v>-4415</v>
      </c>
      <c r="Y14" s="122">
        <f t="shared" si="0"/>
        <v>-15204</v>
      </c>
      <c r="Z14" s="534">
        <v>-3318</v>
      </c>
    </row>
    <row r="15" spans="1:26" s="132" customFormat="1" ht="11.25">
      <c r="A15" s="126"/>
      <c r="B15" s="134" t="s">
        <v>58</v>
      </c>
      <c r="C15" s="118"/>
      <c r="D15" s="207">
        <f>D11+D14</f>
        <v>986</v>
      </c>
      <c r="E15" s="122">
        <f>E11+E14</f>
        <v>1245</v>
      </c>
      <c r="F15" s="122">
        <f>F11+F14</f>
        <v>1262</v>
      </c>
      <c r="G15" s="122">
        <f>G11+G14</f>
        <v>1248</v>
      </c>
      <c r="H15" s="122">
        <f>H11+H14</f>
        <v>4741</v>
      </c>
      <c r="I15" s="130"/>
      <c r="J15" s="207">
        <f>J11+J14</f>
        <v>1022</v>
      </c>
      <c r="K15" s="122">
        <f>K11+K14</f>
        <v>1357</v>
      </c>
      <c r="L15" s="122">
        <f>L11+L14</f>
        <v>872</v>
      </c>
      <c r="M15" s="122">
        <f>M11+M14</f>
        <v>-1402</v>
      </c>
      <c r="N15" s="122">
        <f>N11+N14</f>
        <v>1849</v>
      </c>
      <c r="O15" s="124"/>
      <c r="P15" s="207">
        <f aca="true" t="shared" si="1" ref="P15:X15">P11+P14</f>
        <v>774</v>
      </c>
      <c r="Q15" s="122">
        <f t="shared" si="1"/>
        <v>978</v>
      </c>
      <c r="R15" s="122">
        <f t="shared" si="1"/>
        <v>1034</v>
      </c>
      <c r="S15" s="122">
        <f t="shared" si="1"/>
        <v>1128</v>
      </c>
      <c r="T15" s="122">
        <f t="shared" si="1"/>
        <v>3914</v>
      </c>
      <c r="U15" s="207">
        <f t="shared" si="1"/>
        <v>1363</v>
      </c>
      <c r="V15" s="122">
        <f t="shared" si="1"/>
        <v>1135</v>
      </c>
      <c r="W15" s="122">
        <f t="shared" si="1"/>
        <v>1200</v>
      </c>
      <c r="X15" s="122">
        <f t="shared" si="1"/>
        <v>1456</v>
      </c>
      <c r="Y15" s="122">
        <f t="shared" si="0"/>
        <v>5154</v>
      </c>
      <c r="Z15" s="534">
        <v>948</v>
      </c>
    </row>
    <row r="16" spans="2:26" s="98" customFormat="1" ht="12" customHeight="1">
      <c r="B16" s="135" t="s">
        <v>17</v>
      </c>
      <c r="C16" s="136"/>
      <c r="D16" s="208">
        <v>-73</v>
      </c>
      <c r="E16" s="137">
        <v>-120</v>
      </c>
      <c r="F16" s="137">
        <v>-96</v>
      </c>
      <c r="G16" s="137">
        <v>-101</v>
      </c>
      <c r="H16" s="137">
        <v>-390</v>
      </c>
      <c r="I16" s="138"/>
      <c r="J16" s="208">
        <v>-93</v>
      </c>
      <c r="K16" s="137">
        <v>-70</v>
      </c>
      <c r="L16" s="137">
        <v>-143</v>
      </c>
      <c r="M16" s="137">
        <v>-107</v>
      </c>
      <c r="N16" s="137">
        <v>-413</v>
      </c>
      <c r="O16" s="139"/>
      <c r="P16" s="208">
        <v>-98</v>
      </c>
      <c r="Q16" s="137">
        <v>-94</v>
      </c>
      <c r="R16" s="137">
        <v>-104</v>
      </c>
      <c r="S16" s="137">
        <v>-114</v>
      </c>
      <c r="T16" s="137">
        <v>-410</v>
      </c>
      <c r="U16" s="208">
        <v>-86</v>
      </c>
      <c r="V16" s="137">
        <f>-178+86</f>
        <v>-92</v>
      </c>
      <c r="W16" s="137">
        <v>-89</v>
      </c>
      <c r="X16" s="137">
        <f>-371-U16-V16-W16</f>
        <v>-104</v>
      </c>
      <c r="Y16" s="137">
        <f t="shared" si="0"/>
        <v>-371</v>
      </c>
      <c r="Z16" s="529">
        <v>82</v>
      </c>
    </row>
    <row r="17" spans="2:26" s="98" customFormat="1" ht="12" customHeight="1">
      <c r="B17" s="135" t="s">
        <v>18</v>
      </c>
      <c r="C17" s="136"/>
      <c r="D17" s="208">
        <v>-252</v>
      </c>
      <c r="E17" s="137">
        <v>-217</v>
      </c>
      <c r="F17" s="137">
        <v>-244</v>
      </c>
      <c r="G17" s="137">
        <v>-285</v>
      </c>
      <c r="H17" s="137">
        <v>-998</v>
      </c>
      <c r="I17" s="138"/>
      <c r="J17" s="208">
        <v>-206</v>
      </c>
      <c r="K17" s="137">
        <v>-244</v>
      </c>
      <c r="L17" s="137">
        <v>-221</v>
      </c>
      <c r="M17" s="137">
        <v>-259</v>
      </c>
      <c r="N17" s="137">
        <v>-930</v>
      </c>
      <c r="O17" s="139"/>
      <c r="P17" s="208">
        <v>-186</v>
      </c>
      <c r="Q17" s="137">
        <v>-256</v>
      </c>
      <c r="R17" s="137">
        <v>-235</v>
      </c>
      <c r="S17" s="137">
        <v>-283</v>
      </c>
      <c r="T17" s="137">
        <v>-960</v>
      </c>
      <c r="U17" s="208">
        <v>-203</v>
      </c>
      <c r="V17" s="137">
        <f>-443+203</f>
        <v>-240</v>
      </c>
      <c r="W17" s="137">
        <v>-247</v>
      </c>
      <c r="X17" s="137">
        <f>-972-U17-V17-W17</f>
        <v>-282</v>
      </c>
      <c r="Y17" s="137">
        <f t="shared" si="0"/>
        <v>-972</v>
      </c>
      <c r="Z17" s="529">
        <v>207</v>
      </c>
    </row>
    <row r="18" spans="1:26" s="132" customFormat="1" ht="11.25">
      <c r="A18" s="126"/>
      <c r="B18" s="134" t="s">
        <v>59</v>
      </c>
      <c r="C18" s="118"/>
      <c r="D18" s="207">
        <f>D15+D16+D17</f>
        <v>661</v>
      </c>
      <c r="E18" s="122">
        <f>E15+E16+E17</f>
        <v>908</v>
      </c>
      <c r="F18" s="122">
        <f>F15+F16+F17</f>
        <v>922</v>
      </c>
      <c r="G18" s="122">
        <f>G15+G16+G17</f>
        <v>862</v>
      </c>
      <c r="H18" s="122">
        <f>H15+H16+H17</f>
        <v>3353</v>
      </c>
      <c r="I18" s="130"/>
      <c r="J18" s="207">
        <f>J15+J16+J17</f>
        <v>723</v>
      </c>
      <c r="K18" s="122">
        <f>K15+K16+K17</f>
        <v>1043</v>
      </c>
      <c r="L18" s="122">
        <f>L15+L16+L17</f>
        <v>508</v>
      </c>
      <c r="M18" s="122">
        <f>M15+M16+M17</f>
        <v>-1768</v>
      </c>
      <c r="N18" s="122">
        <f>N15+N16+N17</f>
        <v>506</v>
      </c>
      <c r="O18" s="124"/>
      <c r="P18" s="207">
        <f aca="true" t="shared" si="2" ref="P18:X18">P15+P16+P17</f>
        <v>490</v>
      </c>
      <c r="Q18" s="122">
        <f t="shared" si="2"/>
        <v>628</v>
      </c>
      <c r="R18" s="122">
        <f t="shared" si="2"/>
        <v>695</v>
      </c>
      <c r="S18" s="122">
        <f t="shared" si="2"/>
        <v>731</v>
      </c>
      <c r="T18" s="122">
        <f t="shared" si="2"/>
        <v>2544</v>
      </c>
      <c r="U18" s="207">
        <f t="shared" si="2"/>
        <v>1074</v>
      </c>
      <c r="V18" s="122">
        <f t="shared" si="2"/>
        <v>803</v>
      </c>
      <c r="W18" s="122">
        <f t="shared" si="2"/>
        <v>864</v>
      </c>
      <c r="X18" s="122">
        <f t="shared" si="2"/>
        <v>1070</v>
      </c>
      <c r="Y18" s="122">
        <f t="shared" si="0"/>
        <v>3811</v>
      </c>
      <c r="Z18" s="534">
        <v>687</v>
      </c>
    </row>
    <row r="19" spans="1:26" s="132" customFormat="1" ht="11.25">
      <c r="A19" s="126"/>
      <c r="B19" s="127" t="s">
        <v>34</v>
      </c>
      <c r="C19" s="128"/>
      <c r="D19" s="206">
        <f>3800-3024</f>
        <v>776</v>
      </c>
      <c r="E19" s="129">
        <f>-6127+7727-776</f>
        <v>824</v>
      </c>
      <c r="F19" s="129">
        <f>-9341+11843-776-824</f>
        <v>902</v>
      </c>
      <c r="G19" s="129">
        <v>1011</v>
      </c>
      <c r="H19" s="129">
        <v>3513</v>
      </c>
      <c r="I19" s="130"/>
      <c r="J19" s="206">
        <v>869</v>
      </c>
      <c r="K19" s="129">
        <v>1066</v>
      </c>
      <c r="L19" s="129">
        <v>662</v>
      </c>
      <c r="M19" s="129">
        <v>687</v>
      </c>
      <c r="N19" s="129">
        <v>3284</v>
      </c>
      <c r="O19" s="131"/>
      <c r="P19" s="206">
        <v>459</v>
      </c>
      <c r="Q19" s="129">
        <v>553</v>
      </c>
      <c r="R19" s="129">
        <v>682</v>
      </c>
      <c r="S19" s="129">
        <v>901</v>
      </c>
      <c r="T19" s="129">
        <v>2595</v>
      </c>
      <c r="U19" s="206">
        <v>1065</v>
      </c>
      <c r="V19" s="129">
        <f>1735-1065</f>
        <v>670</v>
      </c>
      <c r="W19" s="129">
        <f>2447-1065-670</f>
        <v>712</v>
      </c>
      <c r="X19" s="129">
        <f>1323-1065-670-712</f>
        <v>-1124</v>
      </c>
      <c r="Y19" s="129">
        <f t="shared" si="0"/>
        <v>1323</v>
      </c>
      <c r="Z19" s="529">
        <v>520</v>
      </c>
    </row>
    <row r="20" spans="1:26" s="132" customFormat="1" ht="11.25">
      <c r="A20" s="126"/>
      <c r="B20" s="127" t="s">
        <v>35</v>
      </c>
      <c r="C20" s="128"/>
      <c r="D20" s="206">
        <f>-558+452</f>
        <v>-106</v>
      </c>
      <c r="E20" s="129">
        <f>-1055+996--106</f>
        <v>47</v>
      </c>
      <c r="F20" s="129">
        <f>-1726+1653--106-47</f>
        <v>-14</v>
      </c>
      <c r="G20" s="129">
        <v>-86</v>
      </c>
      <c r="H20" s="129">
        <v>-159</v>
      </c>
      <c r="I20" s="130"/>
      <c r="J20" s="206">
        <v>-164</v>
      </c>
      <c r="K20" s="129">
        <v>-62</v>
      </c>
      <c r="L20" s="129">
        <v>-173</v>
      </c>
      <c r="M20" s="129">
        <v>-2493</v>
      </c>
      <c r="N20" s="129">
        <v>-2892</v>
      </c>
      <c r="O20" s="131"/>
      <c r="P20" s="206">
        <v>11</v>
      </c>
      <c r="Q20" s="129">
        <v>13</v>
      </c>
      <c r="R20" s="129">
        <v>-4</v>
      </c>
      <c r="S20" s="129">
        <v>-191</v>
      </c>
      <c r="T20" s="129">
        <v>-171</v>
      </c>
      <c r="U20" s="206">
        <v>-1</v>
      </c>
      <c r="V20" s="129">
        <f>101--1</f>
        <v>102</v>
      </c>
      <c r="W20" s="129">
        <f>217-102+1</f>
        <v>116</v>
      </c>
      <c r="X20" s="129">
        <f>-561-102+1-116</f>
        <v>-778</v>
      </c>
      <c r="Y20" s="129">
        <f t="shared" si="0"/>
        <v>-561</v>
      </c>
      <c r="Z20" s="529">
        <v>124</v>
      </c>
    </row>
    <row r="21" spans="1:26" s="125" customFormat="1" ht="11.25">
      <c r="A21" s="118"/>
      <c r="B21" s="133" t="s">
        <v>0</v>
      </c>
      <c r="C21" s="120"/>
      <c r="D21" s="207">
        <f>SUM(D22:D25)</f>
        <v>60</v>
      </c>
      <c r="E21" s="122">
        <f>SUM(E22:E25)</f>
        <v>66</v>
      </c>
      <c r="F21" s="122">
        <f>SUM(F22:F25)</f>
        <v>74</v>
      </c>
      <c r="G21" s="122">
        <f>SUM(G22:G25)</f>
        <v>-185</v>
      </c>
      <c r="H21" s="122">
        <f>SUM(H22:H25)</f>
        <v>15</v>
      </c>
      <c r="I21" s="123"/>
      <c r="J21" s="207">
        <f>SUM(J22:J25)</f>
        <v>82</v>
      </c>
      <c r="K21" s="122">
        <f>SUM(K22:K25)</f>
        <v>94</v>
      </c>
      <c r="L21" s="122">
        <f>SUM(L22:L25)</f>
        <v>-170</v>
      </c>
      <c r="M21" s="122">
        <f>SUM(M22:M25)</f>
        <v>-4668</v>
      </c>
      <c r="N21" s="122">
        <f>SUM(N22:N25)</f>
        <v>-4662</v>
      </c>
      <c r="O21" s="124"/>
      <c r="P21" s="207">
        <f aca="true" t="shared" si="3" ref="P21:X21">SUM(P22:P25)</f>
        <v>-68</v>
      </c>
      <c r="Q21" s="122">
        <f t="shared" si="3"/>
        <v>-102</v>
      </c>
      <c r="R21" s="122">
        <f t="shared" si="3"/>
        <v>-192</v>
      </c>
      <c r="S21" s="122">
        <f t="shared" si="3"/>
        <v>-4599</v>
      </c>
      <c r="T21" s="122">
        <f t="shared" si="3"/>
        <v>-4961</v>
      </c>
      <c r="U21" s="207">
        <f t="shared" si="3"/>
        <v>82</v>
      </c>
      <c r="V21" s="122">
        <f t="shared" si="3"/>
        <v>-136</v>
      </c>
      <c r="W21" s="122">
        <f t="shared" si="3"/>
        <v>79</v>
      </c>
      <c r="X21" s="122">
        <f t="shared" si="3"/>
        <v>-180</v>
      </c>
      <c r="Y21" s="122">
        <f t="shared" si="0"/>
        <v>-155</v>
      </c>
      <c r="Z21" s="534">
        <v>81</v>
      </c>
    </row>
    <row r="22" spans="1:26" s="143" customFormat="1" ht="11.25">
      <c r="A22" s="126"/>
      <c r="B22" s="140" t="s">
        <v>44</v>
      </c>
      <c r="C22" s="141"/>
      <c r="D22" s="206">
        <v>0</v>
      </c>
      <c r="E22" s="129">
        <v>0</v>
      </c>
      <c r="F22" s="129">
        <v>-1</v>
      </c>
      <c r="G22" s="129">
        <v>-251</v>
      </c>
      <c r="H22" s="129">
        <v>-252</v>
      </c>
      <c r="I22" s="142"/>
      <c r="J22" s="206">
        <v>0</v>
      </c>
      <c r="K22" s="129">
        <v>-1</v>
      </c>
      <c r="L22" s="129">
        <v>-312</v>
      </c>
      <c r="M22" s="129">
        <f>N22-SUM(J22:L22)</f>
        <v>-4144</v>
      </c>
      <c r="N22" s="129">
        <v>-4457</v>
      </c>
      <c r="O22" s="124"/>
      <c r="P22" s="206">
        <v>-221</v>
      </c>
      <c r="Q22" s="129">
        <v>-255</v>
      </c>
      <c r="R22" s="129">
        <v>-351</v>
      </c>
      <c r="S22" s="129">
        <v>-373</v>
      </c>
      <c r="T22" s="129">
        <v>-1200</v>
      </c>
      <c r="U22" s="206">
        <v>0</v>
      </c>
      <c r="V22" s="129">
        <v>-215</v>
      </c>
      <c r="W22" s="129">
        <v>0</v>
      </c>
      <c r="X22" s="129">
        <f>-474+215</f>
        <v>-259</v>
      </c>
      <c r="Y22" s="129">
        <f t="shared" si="0"/>
        <v>-474</v>
      </c>
      <c r="Z22" s="534">
        <v>0</v>
      </c>
    </row>
    <row r="23" spans="1:26" s="143" customFormat="1" ht="11.25">
      <c r="A23" s="144"/>
      <c r="B23" s="145" t="s">
        <v>3</v>
      </c>
      <c r="C23" s="146"/>
      <c r="D23" s="206">
        <v>0</v>
      </c>
      <c r="E23" s="129">
        <v>0</v>
      </c>
      <c r="F23" s="129">
        <v>0</v>
      </c>
      <c r="G23" s="129">
        <v>-15</v>
      </c>
      <c r="H23" s="129">
        <v>-15</v>
      </c>
      <c r="I23" s="142"/>
      <c r="J23" s="206">
        <v>0</v>
      </c>
      <c r="K23" s="129">
        <v>0</v>
      </c>
      <c r="L23" s="129">
        <v>0</v>
      </c>
      <c r="M23" s="129">
        <f>N23-SUM(J23:L23)</f>
        <v>-671</v>
      </c>
      <c r="N23" s="129">
        <v>-671</v>
      </c>
      <c r="O23" s="124"/>
      <c r="P23" s="206">
        <v>0</v>
      </c>
      <c r="Q23" s="129">
        <v>0</v>
      </c>
      <c r="R23" s="129">
        <v>0</v>
      </c>
      <c r="S23" s="129">
        <v>0</v>
      </c>
      <c r="T23" s="129">
        <v>0</v>
      </c>
      <c r="U23" s="206">
        <v>0</v>
      </c>
      <c r="V23" s="129">
        <v>0</v>
      </c>
      <c r="W23" s="129">
        <v>0</v>
      </c>
      <c r="X23" s="129">
        <v>0</v>
      </c>
      <c r="Y23" s="129">
        <f t="shared" si="0"/>
        <v>0</v>
      </c>
      <c r="Z23" s="534">
        <v>0</v>
      </c>
    </row>
    <row r="24" spans="1:26" s="143" customFormat="1" ht="11.25">
      <c r="A24" s="144"/>
      <c r="B24" s="145" t="s">
        <v>4</v>
      </c>
      <c r="C24" s="146"/>
      <c r="D24" s="206">
        <v>0</v>
      </c>
      <c r="E24" s="129">
        <v>0</v>
      </c>
      <c r="F24" s="129">
        <v>0</v>
      </c>
      <c r="G24" s="129">
        <v>0</v>
      </c>
      <c r="H24" s="129">
        <v>0</v>
      </c>
      <c r="I24" s="142"/>
      <c r="J24" s="206">
        <v>0</v>
      </c>
      <c r="K24" s="129">
        <v>0</v>
      </c>
      <c r="L24" s="129">
        <v>0</v>
      </c>
      <c r="M24" s="129">
        <f>N24-SUM(J24:L24)</f>
        <v>0</v>
      </c>
      <c r="N24" s="129">
        <v>0</v>
      </c>
      <c r="O24" s="124"/>
      <c r="P24" s="206">
        <v>0</v>
      </c>
      <c r="Q24" s="129">
        <v>0</v>
      </c>
      <c r="R24" s="129">
        <v>0</v>
      </c>
      <c r="S24" s="129">
        <v>-4394</v>
      </c>
      <c r="T24" s="129">
        <v>-4394</v>
      </c>
      <c r="U24" s="206">
        <v>0</v>
      </c>
      <c r="V24" s="129">
        <v>0</v>
      </c>
      <c r="W24" s="129">
        <v>0</v>
      </c>
      <c r="X24" s="129">
        <v>0</v>
      </c>
      <c r="Y24" s="129">
        <f t="shared" si="0"/>
        <v>0</v>
      </c>
      <c r="Z24" s="534">
        <v>0</v>
      </c>
    </row>
    <row r="25" spans="1:26" s="132" customFormat="1" ht="11.25">
      <c r="A25" s="126"/>
      <c r="B25" s="147" t="s">
        <v>45</v>
      </c>
      <c r="C25" s="36"/>
      <c r="D25" s="206">
        <v>60</v>
      </c>
      <c r="E25" s="129">
        <v>66</v>
      </c>
      <c r="F25" s="129">
        <v>75</v>
      </c>
      <c r="G25" s="129">
        <v>81</v>
      </c>
      <c r="H25" s="129">
        <v>282</v>
      </c>
      <c r="I25" s="130"/>
      <c r="J25" s="206">
        <v>82</v>
      </c>
      <c r="K25" s="129">
        <v>95</v>
      </c>
      <c r="L25" s="129">
        <v>142</v>
      </c>
      <c r="M25" s="129">
        <f>N25-SUM(J25:L25)</f>
        <v>147</v>
      </c>
      <c r="N25" s="129">
        <v>466</v>
      </c>
      <c r="O25" s="124"/>
      <c r="P25" s="206">
        <v>153</v>
      </c>
      <c r="Q25" s="129">
        <v>153</v>
      </c>
      <c r="R25" s="129">
        <v>159</v>
      </c>
      <c r="S25" s="129">
        <v>168</v>
      </c>
      <c r="T25" s="129">
        <v>633</v>
      </c>
      <c r="U25" s="206">
        <v>82</v>
      </c>
      <c r="V25" s="129">
        <v>79</v>
      </c>
      <c r="W25" s="129">
        <v>79</v>
      </c>
      <c r="X25" s="129">
        <f>319-U25-V25-W25</f>
        <v>79</v>
      </c>
      <c r="Y25" s="129">
        <f t="shared" si="0"/>
        <v>319</v>
      </c>
      <c r="Z25" s="529">
        <v>81</v>
      </c>
    </row>
    <row r="26" spans="1:26" s="125" customFormat="1" ht="11.25">
      <c r="A26" s="118"/>
      <c r="B26" s="133" t="s">
        <v>46</v>
      </c>
      <c r="C26" s="120"/>
      <c r="D26" s="207">
        <f>SUM(D27:D30)</f>
        <v>-47</v>
      </c>
      <c r="E26" s="122">
        <f>SUM(E27:E30)</f>
        <v>-5</v>
      </c>
      <c r="F26" s="122">
        <f>SUM(F27:F30)</f>
        <v>73</v>
      </c>
      <c r="G26" s="122">
        <f>SUM(G27:G30)</f>
        <v>35</v>
      </c>
      <c r="H26" s="122">
        <f>SUM(H27:H30)</f>
        <v>56</v>
      </c>
      <c r="I26" s="123"/>
      <c r="J26" s="207">
        <f>SUM(J27:J30)</f>
        <v>-92</v>
      </c>
      <c r="K26" s="122">
        <f>SUM(K27:K30)</f>
        <v>14</v>
      </c>
      <c r="L26" s="122">
        <f>SUM(L27:L30)</f>
        <v>-138</v>
      </c>
      <c r="M26" s="122">
        <f>SUM(M27:M30)</f>
        <v>-444</v>
      </c>
      <c r="N26" s="122">
        <f>SUM(N27:N30)</f>
        <v>-660</v>
      </c>
      <c r="O26" s="124"/>
      <c r="P26" s="207">
        <f aca="true" t="shared" si="4" ref="P26:X26">SUM(P27:P30)</f>
        <v>-309</v>
      </c>
      <c r="Q26" s="122">
        <f t="shared" si="4"/>
        <v>203</v>
      </c>
      <c r="R26" s="122">
        <f t="shared" si="4"/>
        <v>-164</v>
      </c>
      <c r="S26" s="122">
        <f t="shared" si="4"/>
        <v>-532</v>
      </c>
      <c r="T26" s="122">
        <f t="shared" si="4"/>
        <v>-802</v>
      </c>
      <c r="U26" s="207">
        <f t="shared" si="4"/>
        <v>-426</v>
      </c>
      <c r="V26" s="122">
        <f t="shared" si="4"/>
        <v>-432</v>
      </c>
      <c r="W26" s="122">
        <f t="shared" si="4"/>
        <v>-204</v>
      </c>
      <c r="X26" s="122">
        <f t="shared" si="4"/>
        <v>-1315</v>
      </c>
      <c r="Y26" s="122">
        <f t="shared" si="0"/>
        <v>-2377</v>
      </c>
      <c r="Z26" s="534">
        <v>-191</v>
      </c>
    </row>
    <row r="27" spans="1:26" s="132" customFormat="1" ht="11.25">
      <c r="A27" s="126"/>
      <c r="B27" s="147" t="s">
        <v>29</v>
      </c>
      <c r="C27" s="36"/>
      <c r="D27" s="206">
        <v>-1</v>
      </c>
      <c r="E27" s="129">
        <v>0</v>
      </c>
      <c r="F27" s="129">
        <v>-1</v>
      </c>
      <c r="G27" s="129">
        <v>-5</v>
      </c>
      <c r="H27" s="129">
        <v>-7</v>
      </c>
      <c r="I27" s="130"/>
      <c r="J27" s="206">
        <v>0</v>
      </c>
      <c r="K27" s="129">
        <f>-1</f>
        <v>-1</v>
      </c>
      <c r="L27" s="129">
        <f>-183</f>
        <v>-183</v>
      </c>
      <c r="M27" s="129">
        <f>-373</f>
        <v>-373</v>
      </c>
      <c r="N27" s="129">
        <v>-557</v>
      </c>
      <c r="O27" s="131"/>
      <c r="P27" s="206">
        <v>-57</v>
      </c>
      <c r="Q27" s="129">
        <v>0</v>
      </c>
      <c r="R27" s="129">
        <v>0</v>
      </c>
      <c r="S27" s="129">
        <f>-1209</f>
        <v>-1209</v>
      </c>
      <c r="T27" s="129">
        <v>-1266</v>
      </c>
      <c r="U27" s="206">
        <v>0</v>
      </c>
      <c r="V27" s="129">
        <v>0</v>
      </c>
      <c r="W27" s="129">
        <v>-1</v>
      </c>
      <c r="X27" s="129">
        <v>-772</v>
      </c>
      <c r="Y27" s="129">
        <f t="shared" si="0"/>
        <v>-773</v>
      </c>
      <c r="Z27" s="529">
        <v>-10</v>
      </c>
    </row>
    <row r="28" spans="1:26" s="132" customFormat="1" ht="22.5">
      <c r="A28" s="126"/>
      <c r="B28" s="147" t="s">
        <v>47</v>
      </c>
      <c r="C28" s="36"/>
      <c r="D28" s="206">
        <v>-9</v>
      </c>
      <c r="E28" s="129">
        <v>3</v>
      </c>
      <c r="F28" s="129">
        <v>55</v>
      </c>
      <c r="G28" s="129">
        <v>97</v>
      </c>
      <c r="H28" s="129">
        <v>146</v>
      </c>
      <c r="I28" s="130"/>
      <c r="J28" s="206">
        <v>134</v>
      </c>
      <c r="K28" s="129">
        <v>-99</v>
      </c>
      <c r="L28" s="129">
        <v>2</v>
      </c>
      <c r="M28" s="129">
        <v>106</v>
      </c>
      <c r="N28" s="129">
        <v>143</v>
      </c>
      <c r="O28" s="131"/>
      <c r="P28" s="206">
        <v>-298</v>
      </c>
      <c r="Q28" s="129">
        <v>408</v>
      </c>
      <c r="R28" s="129">
        <v>-265</v>
      </c>
      <c r="S28" s="129">
        <v>666</v>
      </c>
      <c r="T28" s="129">
        <v>511</v>
      </c>
      <c r="U28" s="398">
        <f>-815+312</f>
        <v>-503</v>
      </c>
      <c r="V28" s="399">
        <f>-794+336</f>
        <v>-458</v>
      </c>
      <c r="W28" s="399">
        <v>-115</v>
      </c>
      <c r="X28" s="399">
        <f>-1466+503+458+115</f>
        <v>-390</v>
      </c>
      <c r="Y28" s="399">
        <f t="shared" si="0"/>
        <v>-1466</v>
      </c>
      <c r="Z28" s="529">
        <v>-183</v>
      </c>
    </row>
    <row r="29" spans="1:26" s="132" customFormat="1" ht="11.25">
      <c r="A29" s="126"/>
      <c r="B29" s="147" t="s">
        <v>30</v>
      </c>
      <c r="C29" s="36"/>
      <c r="D29" s="206">
        <v>-67</v>
      </c>
      <c r="E29" s="129">
        <v>-37</v>
      </c>
      <c r="F29" s="129">
        <v>-4</v>
      </c>
      <c r="G29" s="129">
        <v>-64</v>
      </c>
      <c r="H29" s="129">
        <v>-172</v>
      </c>
      <c r="I29" s="130"/>
      <c r="J29" s="206">
        <v>-233</v>
      </c>
      <c r="K29" s="129">
        <v>60</v>
      </c>
      <c r="L29" s="129">
        <v>52</v>
      </c>
      <c r="M29" s="129">
        <v>-119</v>
      </c>
      <c r="N29" s="129">
        <v>-240</v>
      </c>
      <c r="O29" s="131"/>
      <c r="P29" s="206">
        <v>52</v>
      </c>
      <c r="Q29" s="129">
        <v>-221</v>
      </c>
      <c r="R29" s="129">
        <v>86</v>
      </c>
      <c r="S29" s="129">
        <v>-121</v>
      </c>
      <c r="T29" s="129">
        <v>-204</v>
      </c>
      <c r="U29" s="398">
        <f>156-86</f>
        <v>70</v>
      </c>
      <c r="V29" s="399">
        <f>75-71</f>
        <v>4</v>
      </c>
      <c r="W29" s="399">
        <v>-120</v>
      </c>
      <c r="X29" s="399">
        <f>-261-70-4+120</f>
        <v>-215</v>
      </c>
      <c r="Y29" s="399">
        <f t="shared" si="0"/>
        <v>-261</v>
      </c>
      <c r="Z29" s="529">
        <v>-2</v>
      </c>
    </row>
    <row r="30" spans="1:26" s="132" customFormat="1" ht="11.25">
      <c r="A30" s="126"/>
      <c r="B30" s="147" t="s">
        <v>31</v>
      </c>
      <c r="C30" s="36"/>
      <c r="D30" s="206">
        <v>30</v>
      </c>
      <c r="E30" s="129">
        <v>29</v>
      </c>
      <c r="F30" s="129">
        <v>23</v>
      </c>
      <c r="G30" s="129">
        <v>7</v>
      </c>
      <c r="H30" s="129">
        <v>89</v>
      </c>
      <c r="I30" s="130"/>
      <c r="J30" s="206">
        <v>7</v>
      </c>
      <c r="K30" s="129">
        <v>54</v>
      </c>
      <c r="L30" s="129">
        <v>-9</v>
      </c>
      <c r="M30" s="129">
        <f>-58</f>
        <v>-58</v>
      </c>
      <c r="N30" s="129">
        <v>-6</v>
      </c>
      <c r="O30" s="131">
        <v>0</v>
      </c>
      <c r="P30" s="206">
        <v>-6</v>
      </c>
      <c r="Q30" s="129">
        <v>16</v>
      </c>
      <c r="R30" s="129">
        <f>15</f>
        <v>15</v>
      </c>
      <c r="S30" s="129">
        <f>-53+185</f>
        <v>132</v>
      </c>
      <c r="T30" s="129">
        <v>157</v>
      </c>
      <c r="U30" s="398">
        <f>59-52</f>
        <v>7</v>
      </c>
      <c r="V30" s="399">
        <f>44-22</f>
        <v>22</v>
      </c>
      <c r="W30" s="399">
        <v>32</v>
      </c>
      <c r="X30" s="399">
        <v>62</v>
      </c>
      <c r="Y30" s="399">
        <f t="shared" si="0"/>
        <v>123</v>
      </c>
      <c r="Z30" s="529">
        <v>4</v>
      </c>
    </row>
    <row r="31" spans="1:26" s="125" customFormat="1" ht="11.25">
      <c r="A31" s="118"/>
      <c r="B31" s="133" t="s">
        <v>43</v>
      </c>
      <c r="C31" s="120"/>
      <c r="D31" s="207">
        <f>SUM(D32:D35)</f>
        <v>-49</v>
      </c>
      <c r="E31" s="122">
        <f>SUM(E32:E35)</f>
        <v>-50</v>
      </c>
      <c r="F31" s="122">
        <f>SUM(F32:F35)</f>
        <v>-128</v>
      </c>
      <c r="G31" s="122">
        <f>SUM(G32:G35)</f>
        <v>-99</v>
      </c>
      <c r="H31" s="122">
        <f>SUM(H32:H35)</f>
        <v>-326</v>
      </c>
      <c r="I31" s="123"/>
      <c r="J31" s="207">
        <f>SUM(J32:J35)</f>
        <v>-136</v>
      </c>
      <c r="K31" s="122">
        <f>SUM(K32:K35)</f>
        <v>-35</v>
      </c>
      <c r="L31" s="122">
        <f>SUM(L32:L35)</f>
        <v>-53</v>
      </c>
      <c r="M31" s="122">
        <f>SUM(M32:M35)</f>
        <v>-82</v>
      </c>
      <c r="N31" s="122">
        <f>SUM(N32:N35)</f>
        <v>-306</v>
      </c>
      <c r="O31" s="124"/>
      <c r="P31" s="207">
        <f>SUM(P32:P35)</f>
        <v>230</v>
      </c>
      <c r="Q31" s="122">
        <v>-389</v>
      </c>
      <c r="R31" s="122">
        <v>192</v>
      </c>
      <c r="S31" s="122">
        <f aca="true" t="shared" si="5" ref="S31:X31">SUM(S32:S35)</f>
        <v>-615</v>
      </c>
      <c r="T31" s="122">
        <f t="shared" si="5"/>
        <v>-582</v>
      </c>
      <c r="U31" s="207">
        <f t="shared" si="5"/>
        <v>301</v>
      </c>
      <c r="V31" s="122">
        <f t="shared" si="5"/>
        <v>383</v>
      </c>
      <c r="W31" s="122">
        <f t="shared" si="5"/>
        <v>48</v>
      </c>
      <c r="X31" s="122">
        <f t="shared" si="5"/>
        <v>288</v>
      </c>
      <c r="Y31" s="122">
        <f t="shared" si="0"/>
        <v>1020</v>
      </c>
      <c r="Z31" s="534">
        <v>112</v>
      </c>
    </row>
    <row r="32" spans="1:26" s="132" customFormat="1" ht="11.25">
      <c r="A32" s="126"/>
      <c r="B32" s="147" t="s">
        <v>32</v>
      </c>
      <c r="C32" s="36"/>
      <c r="D32" s="206">
        <v>0</v>
      </c>
      <c r="E32" s="129">
        <v>0</v>
      </c>
      <c r="F32" s="129">
        <v>0</v>
      </c>
      <c r="G32" s="129">
        <v>0</v>
      </c>
      <c r="H32" s="129">
        <v>0</v>
      </c>
      <c r="I32" s="130"/>
      <c r="J32" s="206">
        <v>0</v>
      </c>
      <c r="K32" s="129">
        <v>-2</v>
      </c>
      <c r="L32" s="129">
        <v>-11</v>
      </c>
      <c r="M32" s="129">
        <v>1</v>
      </c>
      <c r="N32" s="129">
        <v>-12</v>
      </c>
      <c r="O32" s="131"/>
      <c r="P32" s="206">
        <v>-8</v>
      </c>
      <c r="Q32" s="129">
        <v>-2</v>
      </c>
      <c r="R32" s="129">
        <v>-1</v>
      </c>
      <c r="S32" s="129">
        <v>28</v>
      </c>
      <c r="T32" s="129">
        <f>26-9</f>
        <v>17</v>
      </c>
      <c r="U32" s="398">
        <v>-13</v>
      </c>
      <c r="V32" s="399">
        <v>-14</v>
      </c>
      <c r="W32" s="399">
        <v>-3</v>
      </c>
      <c r="X32" s="399">
        <v>0</v>
      </c>
      <c r="Y32" s="399">
        <f t="shared" si="0"/>
        <v>-30</v>
      </c>
      <c r="Z32" s="529">
        <v>15</v>
      </c>
    </row>
    <row r="33" spans="1:26" s="132" customFormat="1" ht="11.25">
      <c r="A33" s="126"/>
      <c r="B33" s="147" t="s">
        <v>33</v>
      </c>
      <c r="C33" s="36"/>
      <c r="D33" s="206">
        <v>-37</v>
      </c>
      <c r="E33" s="129">
        <v>-40</v>
      </c>
      <c r="F33" s="129">
        <v>-40</v>
      </c>
      <c r="G33" s="129">
        <v>-6</v>
      </c>
      <c r="H33" s="129">
        <v>-123</v>
      </c>
      <c r="I33" s="130"/>
      <c r="J33" s="206">
        <v>-49</v>
      </c>
      <c r="K33" s="129">
        <v>-78</v>
      </c>
      <c r="L33" s="129">
        <v>-11</v>
      </c>
      <c r="M33" s="129">
        <v>-18</v>
      </c>
      <c r="N33" s="129">
        <v>-156</v>
      </c>
      <c r="O33" s="131"/>
      <c r="P33" s="206">
        <v>-15</v>
      </c>
      <c r="Q33" s="129">
        <v>-16</v>
      </c>
      <c r="R33" s="129">
        <v>-18</v>
      </c>
      <c r="S33" s="129">
        <v>-36</v>
      </c>
      <c r="T33" s="129">
        <v>-85</v>
      </c>
      <c r="U33" s="398">
        <v>-32</v>
      </c>
      <c r="V33" s="399">
        <v>-21</v>
      </c>
      <c r="W33" s="399">
        <v>-22</v>
      </c>
      <c r="X33" s="399">
        <f>-96+32+21+22</f>
        <v>-21</v>
      </c>
      <c r="Y33" s="399">
        <f t="shared" si="0"/>
        <v>-96</v>
      </c>
      <c r="Z33" s="529">
        <v>-25</v>
      </c>
    </row>
    <row r="34" spans="1:26" s="132" customFormat="1" ht="11.25">
      <c r="A34" s="126"/>
      <c r="B34" s="147" t="s">
        <v>42</v>
      </c>
      <c r="C34" s="36"/>
      <c r="D34" s="206">
        <v>5</v>
      </c>
      <c r="E34" s="129">
        <v>3</v>
      </c>
      <c r="F34" s="129">
        <v>-70</v>
      </c>
      <c r="G34" s="129">
        <v>-64</v>
      </c>
      <c r="H34" s="129">
        <v>-126</v>
      </c>
      <c r="I34" s="130"/>
      <c r="J34" s="206">
        <v>-59</v>
      </c>
      <c r="K34" s="129">
        <v>72</v>
      </c>
      <c r="L34" s="129">
        <v>2</v>
      </c>
      <c r="M34" s="129">
        <v>-44</v>
      </c>
      <c r="N34" s="129">
        <v>-29</v>
      </c>
      <c r="O34" s="131"/>
      <c r="P34" s="206">
        <v>276</v>
      </c>
      <c r="Q34" s="129">
        <v>-346</v>
      </c>
      <c r="R34" s="129">
        <f>70+177</f>
        <v>247</v>
      </c>
      <c r="S34" s="129">
        <v>-578</v>
      </c>
      <c r="T34" s="129">
        <v>-401</v>
      </c>
      <c r="U34" s="398">
        <v>372</v>
      </c>
      <c r="V34" s="399">
        <f>443</f>
        <v>443</v>
      </c>
      <c r="W34" s="399">
        <v>100</v>
      </c>
      <c r="X34" s="399">
        <f>1251-372-443-100</f>
        <v>336</v>
      </c>
      <c r="Y34" s="399">
        <f t="shared" si="0"/>
        <v>1251</v>
      </c>
      <c r="Z34" s="529">
        <v>149</v>
      </c>
    </row>
    <row r="35" spans="1:26" s="132" customFormat="1" ht="11.25">
      <c r="A35" s="126"/>
      <c r="B35" s="147" t="s">
        <v>31</v>
      </c>
      <c r="C35" s="36"/>
      <c r="D35" s="206">
        <v>-17</v>
      </c>
      <c r="E35" s="129">
        <v>-13</v>
      </c>
      <c r="F35" s="129">
        <v>-18</v>
      </c>
      <c r="G35" s="129">
        <v>-29</v>
      </c>
      <c r="H35" s="129">
        <v>-77</v>
      </c>
      <c r="I35" s="130"/>
      <c r="J35" s="206">
        <v>-28</v>
      </c>
      <c r="K35" s="129">
        <v>-27</v>
      </c>
      <c r="L35" s="129">
        <v>-33</v>
      </c>
      <c r="M35" s="129">
        <v>-21</v>
      </c>
      <c r="N35" s="129">
        <v>-109</v>
      </c>
      <c r="O35" s="131"/>
      <c r="P35" s="206">
        <f>-31+8</f>
        <v>-23</v>
      </c>
      <c r="Q35" s="129">
        <f>-27+2</f>
        <v>-25</v>
      </c>
      <c r="R35" s="129">
        <v>-36</v>
      </c>
      <c r="S35" s="129">
        <v>-29</v>
      </c>
      <c r="T35" s="129">
        <v>-113</v>
      </c>
      <c r="U35" s="398">
        <v>-26</v>
      </c>
      <c r="V35" s="399">
        <v>-25</v>
      </c>
      <c r="W35" s="399">
        <v>-27</v>
      </c>
      <c r="X35" s="399">
        <v>-27</v>
      </c>
      <c r="Y35" s="399">
        <f t="shared" si="0"/>
        <v>-105</v>
      </c>
      <c r="Z35" s="529">
        <v>-27</v>
      </c>
    </row>
    <row r="36" spans="1:26" s="132" customFormat="1" ht="11.25">
      <c r="A36" s="126"/>
      <c r="B36" s="134" t="s">
        <v>48</v>
      </c>
      <c r="C36" s="118"/>
      <c r="D36" s="207">
        <f>D18+D21+D26+D31</f>
        <v>625</v>
      </c>
      <c r="E36" s="122">
        <f>E18+E21+E26+E31</f>
        <v>919</v>
      </c>
      <c r="F36" s="122">
        <f>F18+F21+F26+F31</f>
        <v>941</v>
      </c>
      <c r="G36" s="122">
        <f>G18+G21+G26+G31</f>
        <v>613</v>
      </c>
      <c r="H36" s="122">
        <f>H18+H21+H26+H31</f>
        <v>3098</v>
      </c>
      <c r="I36" s="130"/>
      <c r="J36" s="207">
        <f>J18+J21+J26+J31</f>
        <v>577</v>
      </c>
      <c r="K36" s="122">
        <f>K18+K21+K26+K31</f>
        <v>1116</v>
      </c>
      <c r="L36" s="122">
        <f>L18+L21+L26+L31</f>
        <v>147</v>
      </c>
      <c r="M36" s="122">
        <f>M18+M21+M26+M31</f>
        <v>-6962</v>
      </c>
      <c r="N36" s="122">
        <f>N18+N21+N26+N31</f>
        <v>-5122</v>
      </c>
      <c r="O36" s="124"/>
      <c r="P36" s="207">
        <f aca="true" t="shared" si="6" ref="P36:X36">P18+P21+P26+P31</f>
        <v>343</v>
      </c>
      <c r="Q36" s="122">
        <f t="shared" si="6"/>
        <v>340</v>
      </c>
      <c r="R36" s="122">
        <f t="shared" si="6"/>
        <v>531</v>
      </c>
      <c r="S36" s="122">
        <f t="shared" si="6"/>
        <v>-5015</v>
      </c>
      <c r="T36" s="122">
        <f t="shared" si="6"/>
        <v>-3801</v>
      </c>
      <c r="U36" s="400">
        <f t="shared" si="6"/>
        <v>1031</v>
      </c>
      <c r="V36" s="401">
        <f t="shared" si="6"/>
        <v>618</v>
      </c>
      <c r="W36" s="401">
        <f t="shared" si="6"/>
        <v>787</v>
      </c>
      <c r="X36" s="401">
        <f t="shared" si="6"/>
        <v>-137</v>
      </c>
      <c r="Y36" s="401">
        <f t="shared" si="0"/>
        <v>2299</v>
      </c>
      <c r="Z36" s="534">
        <v>661</v>
      </c>
    </row>
    <row r="37" spans="1:26" s="132" customFormat="1" ht="11.25">
      <c r="A37" s="126"/>
      <c r="B37" s="148" t="s">
        <v>2</v>
      </c>
      <c r="C37" s="128"/>
      <c r="D37" s="206">
        <v>-208</v>
      </c>
      <c r="E37" s="129">
        <v>-235</v>
      </c>
      <c r="F37" s="129">
        <v>-262</v>
      </c>
      <c r="G37" s="129">
        <v>58</v>
      </c>
      <c r="H37" s="129">
        <v>-647</v>
      </c>
      <c r="I37" s="130"/>
      <c r="J37" s="206">
        <v>-179</v>
      </c>
      <c r="K37" s="129">
        <v>-320</v>
      </c>
      <c r="L37" s="129">
        <v>-113</v>
      </c>
      <c r="M37" s="129">
        <f>N37-SUM(J37:L37)</f>
        <v>725</v>
      </c>
      <c r="N37" s="129">
        <v>113</v>
      </c>
      <c r="O37" s="131"/>
      <c r="P37" s="206">
        <v>-180</v>
      </c>
      <c r="Q37" s="129">
        <v>-205</v>
      </c>
      <c r="R37" s="129">
        <v>-200</v>
      </c>
      <c r="S37" s="129">
        <v>-63</v>
      </c>
      <c r="T37" s="129">
        <v>-648</v>
      </c>
      <c r="U37" s="398">
        <v>-321</v>
      </c>
      <c r="V37" s="399">
        <f>-186-88</f>
        <v>-274</v>
      </c>
      <c r="W37" s="399">
        <v>-182</v>
      </c>
      <c r="X37" s="399">
        <f>-774+321+274+182</f>
        <v>3</v>
      </c>
      <c r="Y37" s="399">
        <f t="shared" si="0"/>
        <v>-774</v>
      </c>
      <c r="Z37" s="529">
        <v>-222</v>
      </c>
    </row>
    <row r="38" spans="2:26" s="132" customFormat="1" ht="11.25">
      <c r="B38" s="149" t="s">
        <v>49</v>
      </c>
      <c r="C38" s="150"/>
      <c r="D38" s="205">
        <f>D36+D37</f>
        <v>417</v>
      </c>
      <c r="E38" s="121">
        <f>E36+E37</f>
        <v>684</v>
      </c>
      <c r="F38" s="121">
        <f>F36+F37</f>
        <v>679</v>
      </c>
      <c r="G38" s="121">
        <f>G36+G37</f>
        <v>671</v>
      </c>
      <c r="H38" s="121">
        <f>H36+H37</f>
        <v>2451</v>
      </c>
      <c r="I38" s="130"/>
      <c r="J38" s="207">
        <f>J36+J37</f>
        <v>398</v>
      </c>
      <c r="K38" s="122">
        <f>K36+K37</f>
        <v>796</v>
      </c>
      <c r="L38" s="122">
        <f>L36+L37</f>
        <v>34</v>
      </c>
      <c r="M38" s="122">
        <f>M36+M37</f>
        <v>-6237</v>
      </c>
      <c r="N38" s="122">
        <f>N36+N37</f>
        <v>-5009</v>
      </c>
      <c r="O38" s="124"/>
      <c r="P38" s="207">
        <f aca="true" t="shared" si="7" ref="P38:X38">P36+P37</f>
        <v>163</v>
      </c>
      <c r="Q38" s="122">
        <f t="shared" si="7"/>
        <v>135</v>
      </c>
      <c r="R38" s="122">
        <f t="shared" si="7"/>
        <v>331</v>
      </c>
      <c r="S38" s="122">
        <f t="shared" si="7"/>
        <v>-5078</v>
      </c>
      <c r="T38" s="121">
        <f t="shared" si="7"/>
        <v>-4449</v>
      </c>
      <c r="U38" s="205">
        <f t="shared" si="7"/>
        <v>710</v>
      </c>
      <c r="V38" s="121">
        <f t="shared" si="7"/>
        <v>344</v>
      </c>
      <c r="W38" s="121">
        <f t="shared" si="7"/>
        <v>605</v>
      </c>
      <c r="X38" s="121">
        <f t="shared" si="7"/>
        <v>-134</v>
      </c>
      <c r="Y38" s="121">
        <f t="shared" si="0"/>
        <v>1525</v>
      </c>
      <c r="Z38" s="534">
        <v>439</v>
      </c>
    </row>
    <row r="39" spans="3:26" s="132" customFormat="1" ht="11.25">
      <c r="C39" s="130"/>
      <c r="D39" s="209"/>
      <c r="E39" s="151"/>
      <c r="F39" s="151"/>
      <c r="G39" s="151"/>
      <c r="H39" s="151"/>
      <c r="I39" s="151"/>
      <c r="J39" s="209"/>
      <c r="K39" s="151"/>
      <c r="L39" s="151"/>
      <c r="M39" s="151"/>
      <c r="N39" s="151"/>
      <c r="O39" s="151"/>
      <c r="P39" s="209"/>
      <c r="Q39" s="151"/>
      <c r="R39" s="151"/>
      <c r="S39" s="151"/>
      <c r="T39" s="151"/>
      <c r="U39" s="209"/>
      <c r="V39" s="151"/>
      <c r="W39" s="151"/>
      <c r="X39" s="151"/>
      <c r="Y39" s="151"/>
      <c r="Z39" s="151"/>
    </row>
    <row r="40" spans="2:26" s="132" customFormat="1" ht="12" customHeight="1">
      <c r="B40" s="152" t="s">
        <v>52</v>
      </c>
      <c r="C40" s="153"/>
      <c r="D40" s="210">
        <v>401</v>
      </c>
      <c r="E40" s="154">
        <f>793-401</f>
        <v>392</v>
      </c>
      <c r="F40" s="154">
        <f>1196-401-392</f>
        <v>403</v>
      </c>
      <c r="G40" s="154">
        <f aca="true" t="shared" si="8" ref="G40:G45">H40-D40-E40-F40</f>
        <v>439</v>
      </c>
      <c r="H40" s="154">
        <v>1635</v>
      </c>
      <c r="I40" s="155"/>
      <c r="J40" s="210">
        <v>564</v>
      </c>
      <c r="K40" s="154">
        <f>944-564</f>
        <v>380</v>
      </c>
      <c r="L40" s="154">
        <f>1474-380-564</f>
        <v>530</v>
      </c>
      <c r="M40" s="154">
        <f aca="true" t="shared" si="9" ref="M40:M45">N40-SUM(J40:L40)</f>
        <v>469</v>
      </c>
      <c r="N40" s="154">
        <v>1943</v>
      </c>
      <c r="O40" s="156"/>
      <c r="P40" s="206">
        <v>397</v>
      </c>
      <c r="Q40" s="129">
        <f>810-397</f>
        <v>413</v>
      </c>
      <c r="R40" s="129">
        <f>1241-397-413</f>
        <v>431</v>
      </c>
      <c r="S40" s="129">
        <f aca="true" t="shared" si="10" ref="S40:S45">T40-P40-Q40-R40</f>
        <v>702</v>
      </c>
      <c r="T40" s="154">
        <v>1943</v>
      </c>
      <c r="U40" s="210">
        <v>371</v>
      </c>
      <c r="V40" s="154">
        <f>772-371</f>
        <v>401</v>
      </c>
      <c r="W40" s="154">
        <f>772-371</f>
        <v>401</v>
      </c>
      <c r="X40" s="154">
        <f>1609-401-401-371</f>
        <v>436</v>
      </c>
      <c r="Y40" s="154">
        <v>1609</v>
      </c>
      <c r="Z40" s="529">
        <v>350</v>
      </c>
    </row>
    <row r="41" spans="2:27" s="132" customFormat="1" ht="12" customHeight="1">
      <c r="B41" s="153" t="s">
        <v>39</v>
      </c>
      <c r="C41" s="153"/>
      <c r="D41" s="210">
        <v>1076</v>
      </c>
      <c r="E41" s="154">
        <f>2366-1076</f>
        <v>1290</v>
      </c>
      <c r="F41" s="157">
        <f>3683-1076-1290</f>
        <v>1317</v>
      </c>
      <c r="G41" s="154">
        <f t="shared" si="8"/>
        <v>1173</v>
      </c>
      <c r="H41" s="154">
        <f>4331+379+146</f>
        <v>4856</v>
      </c>
      <c r="I41" s="155"/>
      <c r="J41" s="223">
        <f>1095+118+68</f>
        <v>1281</v>
      </c>
      <c r="K41" s="157">
        <f>1269+64+146-68</f>
        <v>1411</v>
      </c>
      <c r="L41" s="157">
        <f>3252+259-40+211-1281-1411</f>
        <v>990</v>
      </c>
      <c r="M41" s="154">
        <f t="shared" si="9"/>
        <v>-5770</v>
      </c>
      <c r="N41" s="154">
        <f>4159-2042-4486+281</f>
        <v>-2088</v>
      </c>
      <c r="O41" s="156"/>
      <c r="P41" s="206">
        <f>673+139+84+91</f>
        <v>987</v>
      </c>
      <c r="Q41" s="129">
        <f>1463+272+154+173-987</f>
        <v>1075</v>
      </c>
      <c r="R41" s="129">
        <f>2394+393+124+240-987-1075</f>
        <v>1089</v>
      </c>
      <c r="S41" s="129">
        <f t="shared" si="10"/>
        <v>-5414</v>
      </c>
      <c r="T41" s="154">
        <f>3551+346-6473+313</f>
        <v>-2263</v>
      </c>
      <c r="U41" s="210">
        <f>1304+75+122+80</f>
        <v>1581</v>
      </c>
      <c r="V41" s="154">
        <f>2863-1581</f>
        <v>1282</v>
      </c>
      <c r="W41" s="154">
        <f>2863-1581</f>
        <v>1282</v>
      </c>
      <c r="X41" s="154">
        <v>1865</v>
      </c>
      <c r="Y41" s="154">
        <f>4160+964+609+277</f>
        <v>6010</v>
      </c>
      <c r="Z41" s="529">
        <v>1174</v>
      </c>
      <c r="AA41" s="451"/>
    </row>
    <row r="42" spans="2:27" s="125" customFormat="1" ht="35.25" customHeight="1">
      <c r="B42" s="119" t="s">
        <v>41</v>
      </c>
      <c r="C42" s="120"/>
      <c r="D42" s="211">
        <f>982+4+90</f>
        <v>1076</v>
      </c>
      <c r="E42" s="158">
        <f>2366-1076</f>
        <v>1290</v>
      </c>
      <c r="F42" s="158">
        <f>3683-1076-1290</f>
        <v>1317</v>
      </c>
      <c r="G42" s="159">
        <f t="shared" si="8"/>
        <v>1207</v>
      </c>
      <c r="H42" s="158">
        <f>4331+415+144</f>
        <v>4890</v>
      </c>
      <c r="I42" s="160"/>
      <c r="J42" s="211">
        <f>1095+118+68</f>
        <v>1281</v>
      </c>
      <c r="K42" s="158">
        <f>1269+64+146-68</f>
        <v>1411</v>
      </c>
      <c r="L42" s="158">
        <f>3252+286-40+211-1281-1411</f>
        <v>1017</v>
      </c>
      <c r="M42" s="158">
        <f t="shared" si="9"/>
        <v>1001</v>
      </c>
      <c r="N42" s="158">
        <f>4163+369-101+279</f>
        <v>4710</v>
      </c>
      <c r="O42" s="161"/>
      <c r="P42" s="207">
        <f>673+139+84+91</f>
        <v>987</v>
      </c>
      <c r="Q42" s="122">
        <f>1463+272+154+173-987</f>
        <v>1075</v>
      </c>
      <c r="R42" s="122">
        <f>2394+393+124+240-987-1075</f>
        <v>1089</v>
      </c>
      <c r="S42" s="122">
        <f t="shared" si="10"/>
        <v>1515</v>
      </c>
      <c r="T42" s="158">
        <f>3551+614+189+312</f>
        <v>4666</v>
      </c>
      <c r="U42" s="211">
        <f>1304+75+122+80</f>
        <v>1581</v>
      </c>
      <c r="V42" s="158">
        <f>2863-1581</f>
        <v>1282</v>
      </c>
      <c r="W42" s="158">
        <f>4277-1581-1282</f>
        <v>1414</v>
      </c>
      <c r="X42" s="158">
        <v>1476</v>
      </c>
      <c r="Y42" s="158">
        <f>4160+707+609+277</f>
        <v>5753</v>
      </c>
      <c r="Z42" s="534">
        <v>1174</v>
      </c>
      <c r="AA42" s="451"/>
    </row>
    <row r="43" spans="1:27" s="132" customFormat="1" ht="11.25">
      <c r="A43" s="126"/>
      <c r="B43" s="127" t="s">
        <v>34</v>
      </c>
      <c r="C43" s="128"/>
      <c r="D43" s="206">
        <v>982</v>
      </c>
      <c r="E43" s="129">
        <f>2019-982</f>
        <v>1037</v>
      </c>
      <c r="F43" s="129">
        <f>3131-1037-982</f>
        <v>1112</v>
      </c>
      <c r="G43" s="154">
        <f t="shared" si="8"/>
        <v>1200</v>
      </c>
      <c r="H43" s="129">
        <v>4331</v>
      </c>
      <c r="I43" s="130"/>
      <c r="J43" s="206">
        <v>1095</v>
      </c>
      <c r="K43" s="129">
        <f>2364-1095</f>
        <v>1269</v>
      </c>
      <c r="L43" s="129">
        <f>3252-1095-1269</f>
        <v>888</v>
      </c>
      <c r="M43" s="129">
        <f t="shared" si="9"/>
        <v>911</v>
      </c>
      <c r="N43" s="129">
        <v>4163</v>
      </c>
      <c r="O43" s="131"/>
      <c r="P43" s="206">
        <v>673</v>
      </c>
      <c r="Q43" s="129">
        <f>1463-673</f>
        <v>790</v>
      </c>
      <c r="R43" s="129">
        <f>2394-673-790</f>
        <v>931</v>
      </c>
      <c r="S43" s="129">
        <f t="shared" si="10"/>
        <v>1157</v>
      </c>
      <c r="T43" s="129">
        <v>3551</v>
      </c>
      <c r="U43" s="206">
        <v>1304</v>
      </c>
      <c r="V43" s="129">
        <f>2231-1304</f>
        <v>927</v>
      </c>
      <c r="W43" s="129">
        <f>3199-1304-927</f>
        <v>968</v>
      </c>
      <c r="X43" s="129">
        <v>961</v>
      </c>
      <c r="Y43" s="129">
        <v>4160</v>
      </c>
      <c r="Z43" s="529">
        <v>771</v>
      </c>
      <c r="AA43" s="451"/>
    </row>
    <row r="44" spans="1:27" s="132" customFormat="1" ht="11.25">
      <c r="A44" s="126"/>
      <c r="B44" s="127" t="s">
        <v>35</v>
      </c>
      <c r="C44" s="128"/>
      <c r="D44" s="206">
        <v>4</v>
      </c>
      <c r="E44" s="129">
        <f>167-4</f>
        <v>163</v>
      </c>
      <c r="F44" s="129">
        <f>293-163-4</f>
        <v>126</v>
      </c>
      <c r="G44" s="154">
        <f t="shared" si="8"/>
        <v>122</v>
      </c>
      <c r="H44" s="129">
        <v>415</v>
      </c>
      <c r="I44" s="130"/>
      <c r="J44" s="206">
        <v>118</v>
      </c>
      <c r="K44" s="129">
        <f>182-118</f>
        <v>64</v>
      </c>
      <c r="L44" s="129">
        <f>286-118-64</f>
        <v>104</v>
      </c>
      <c r="M44" s="129">
        <f t="shared" si="9"/>
        <v>83</v>
      </c>
      <c r="N44" s="129">
        <v>369</v>
      </c>
      <c r="O44" s="131"/>
      <c r="P44" s="206">
        <v>139</v>
      </c>
      <c r="Q44" s="129">
        <f>272-139</f>
        <v>133</v>
      </c>
      <c r="R44" s="129">
        <f>393-139-133</f>
        <v>121</v>
      </c>
      <c r="S44" s="129">
        <f t="shared" si="10"/>
        <v>221</v>
      </c>
      <c r="T44" s="129">
        <v>614</v>
      </c>
      <c r="U44" s="206">
        <v>75</v>
      </c>
      <c r="V44" s="129">
        <f>264-75</f>
        <v>189</v>
      </c>
      <c r="W44" s="129">
        <f>455-75-189</f>
        <v>191</v>
      </c>
      <c r="X44" s="129">
        <v>252</v>
      </c>
      <c r="Y44" s="129">
        <v>707</v>
      </c>
      <c r="Z44" s="529">
        <v>168</v>
      </c>
      <c r="AA44" s="451"/>
    </row>
    <row r="45" spans="1:27" s="132" customFormat="1" ht="11.25">
      <c r="A45" s="126"/>
      <c r="B45" s="127" t="s">
        <v>36</v>
      </c>
      <c r="C45" s="128"/>
      <c r="D45" s="206">
        <v>0</v>
      </c>
      <c r="E45" s="129">
        <v>0</v>
      </c>
      <c r="F45" s="129">
        <v>0</v>
      </c>
      <c r="G45" s="129">
        <f t="shared" si="8"/>
        <v>0</v>
      </c>
      <c r="H45" s="129">
        <v>0</v>
      </c>
      <c r="I45" s="130"/>
      <c r="J45" s="206">
        <v>0</v>
      </c>
      <c r="K45" s="129">
        <v>0</v>
      </c>
      <c r="L45" s="129">
        <v>-40</v>
      </c>
      <c r="M45" s="129">
        <f t="shared" si="9"/>
        <v>-61</v>
      </c>
      <c r="N45" s="129">
        <v>-101</v>
      </c>
      <c r="O45" s="131"/>
      <c r="P45" s="206">
        <v>84</v>
      </c>
      <c r="Q45" s="129">
        <f>154-84</f>
        <v>70</v>
      </c>
      <c r="R45" s="129">
        <f>124-84-70</f>
        <v>-30</v>
      </c>
      <c r="S45" s="129">
        <f t="shared" si="10"/>
        <v>65</v>
      </c>
      <c r="T45" s="129">
        <v>189</v>
      </c>
      <c r="U45" s="206">
        <v>122</v>
      </c>
      <c r="V45" s="129">
        <f>195-122</f>
        <v>73</v>
      </c>
      <c r="W45" s="129">
        <f>378-122-73</f>
        <v>183</v>
      </c>
      <c r="X45" s="129">
        <v>231</v>
      </c>
      <c r="Y45" s="129">
        <v>609</v>
      </c>
      <c r="Z45" s="529">
        <v>163</v>
      </c>
      <c r="AA45" s="451"/>
    </row>
    <row r="46" spans="2:27" s="125" customFormat="1" ht="22.5">
      <c r="B46" s="119" t="s">
        <v>62</v>
      </c>
      <c r="C46" s="120"/>
      <c r="D46" s="212">
        <f aca="true" t="shared" si="11" ref="D46:H48">D42/D11</f>
        <v>0.23139784946236558</v>
      </c>
      <c r="E46" s="162">
        <f t="shared" si="11"/>
        <v>0.2644526445264453</v>
      </c>
      <c r="F46" s="162">
        <f t="shared" si="11"/>
        <v>0.2538550501156515</v>
      </c>
      <c r="G46" s="163">
        <f t="shared" si="11"/>
        <v>0.20896814404432132</v>
      </c>
      <c r="H46" s="162">
        <f t="shared" si="11"/>
        <v>0.23862970915479212</v>
      </c>
      <c r="I46" s="164"/>
      <c r="J46" s="212">
        <f aca="true" t="shared" si="12" ref="J46:K48">J42/J11</f>
        <v>0.2707672796448954</v>
      </c>
      <c r="K46" s="162">
        <f t="shared" si="12"/>
        <v>0.2647776318258585</v>
      </c>
      <c r="L46" s="162">
        <v>0.20082938388625593</v>
      </c>
      <c r="M46" s="162">
        <v>0.1822651128914785</v>
      </c>
      <c r="N46" s="162">
        <v>0.22846332945285217</v>
      </c>
      <c r="O46" s="165"/>
      <c r="P46" s="224">
        <v>0.23344370860927152</v>
      </c>
      <c r="Q46" s="166">
        <v>0.2188963551211566</v>
      </c>
      <c r="R46" s="166">
        <v>0.21902654867256638</v>
      </c>
      <c r="S46" s="166">
        <v>0.23528498214008386</v>
      </c>
      <c r="T46" s="162">
        <v>0.22705596107055961</v>
      </c>
      <c r="U46" s="212">
        <f>U42/(U11+459)</f>
        <v>0.29441340782122905</v>
      </c>
      <c r="V46" s="162">
        <f>V42/(V11+868-459)</f>
        <v>0.24601803876415276</v>
      </c>
      <c r="W46" s="162">
        <f>W42/(W11+1436-459-409)</f>
        <v>0.2646948708348933</v>
      </c>
      <c r="X46" s="162">
        <f>X42/(X11+1993-459-409-568)</f>
        <v>0.22962041070317363</v>
      </c>
      <c r="Y46" s="162">
        <f>Y42/(Y11+1993)</f>
        <v>0.25739340521676884</v>
      </c>
      <c r="Z46" s="533">
        <f>Z42/(Z11+481)</f>
        <v>0.24731409311143882</v>
      </c>
      <c r="AA46" s="451"/>
    </row>
    <row r="47" spans="1:26" s="132" customFormat="1" ht="11.25">
      <c r="A47" s="126"/>
      <c r="B47" s="127" t="s">
        <v>34</v>
      </c>
      <c r="C47" s="128"/>
      <c r="D47" s="213">
        <f t="shared" si="11"/>
        <v>0.25842105263157894</v>
      </c>
      <c r="E47" s="167">
        <f t="shared" si="11"/>
        <v>0.26406926406926406</v>
      </c>
      <c r="F47" s="167">
        <f t="shared" si="11"/>
        <v>0.27016520894071916</v>
      </c>
      <c r="G47" s="168">
        <f t="shared" si="11"/>
        <v>0.25052192066805845</v>
      </c>
      <c r="H47" s="167">
        <f t="shared" si="11"/>
        <v>0.2603859796789515</v>
      </c>
      <c r="I47" s="169"/>
      <c r="J47" s="213">
        <f t="shared" si="12"/>
        <v>0.2906822405096894</v>
      </c>
      <c r="K47" s="167">
        <f t="shared" si="12"/>
        <v>0.2934104046242775</v>
      </c>
      <c r="L47" s="167">
        <f aca="true" t="shared" si="13" ref="L47:N48">L43/L12</f>
        <v>0.24123879380603097</v>
      </c>
      <c r="M47" s="167">
        <f t="shared" si="13"/>
        <v>0.2186749879980797</v>
      </c>
      <c r="N47" s="167">
        <f t="shared" si="13"/>
        <v>0.2611832611832612</v>
      </c>
      <c r="O47" s="170"/>
      <c r="P47" s="213">
        <f aca="true" t="shared" si="14" ref="P47:Z47">P43/P12</f>
        <v>0.22591473648875462</v>
      </c>
      <c r="Q47" s="167">
        <f t="shared" si="14"/>
        <v>0.2218477955630441</v>
      </c>
      <c r="R47" s="167">
        <f t="shared" si="14"/>
        <v>0.24866452991452992</v>
      </c>
      <c r="S47" s="167">
        <f t="shared" si="14"/>
        <v>0.23964374482187242</v>
      </c>
      <c r="T47" s="167">
        <f t="shared" si="14"/>
        <v>0.23497882477501322</v>
      </c>
      <c r="U47" s="213">
        <f t="shared" si="14"/>
        <v>0.3347022587268994</v>
      </c>
      <c r="V47" s="167">
        <f t="shared" si="14"/>
        <v>0.24362680683311433</v>
      </c>
      <c r="W47" s="167">
        <f t="shared" si="14"/>
        <v>0.25937834941050375</v>
      </c>
      <c r="X47" s="167">
        <f t="shared" si="14"/>
        <v>0.20932258767153125</v>
      </c>
      <c r="Y47" s="167">
        <f t="shared" si="14"/>
        <v>0.25961058412381427</v>
      </c>
      <c r="Z47" s="532">
        <f t="shared" si="14"/>
        <v>0.2404865876481597</v>
      </c>
    </row>
    <row r="48" spans="1:26" s="132" customFormat="1" ht="11.25">
      <c r="A48" s="126"/>
      <c r="B48" s="127" t="s">
        <v>35</v>
      </c>
      <c r="C48" s="128"/>
      <c r="D48" s="213">
        <f t="shared" si="11"/>
        <v>0.008849557522123894</v>
      </c>
      <c r="E48" s="167">
        <f t="shared" si="11"/>
        <v>0.29963235294117646</v>
      </c>
      <c r="F48" s="167">
        <f t="shared" si="11"/>
        <v>0.1917808219178082</v>
      </c>
      <c r="G48" s="168">
        <f t="shared" si="11"/>
        <v>0.21180555555555555</v>
      </c>
      <c r="H48" s="167">
        <f t="shared" si="11"/>
        <v>0.18618214445939885</v>
      </c>
      <c r="I48" s="169"/>
      <c r="J48" s="213">
        <f t="shared" si="12"/>
        <v>0.19063004846526657</v>
      </c>
      <c r="K48" s="167">
        <f t="shared" si="12"/>
        <v>0.10578512396694215</v>
      </c>
      <c r="L48" s="167">
        <f t="shared" si="13"/>
        <v>0.14092140921409213</v>
      </c>
      <c r="M48" s="167">
        <f t="shared" si="13"/>
        <v>0.13495934959349593</v>
      </c>
      <c r="N48" s="167">
        <f t="shared" si="13"/>
        <v>0.14318975552968569</v>
      </c>
      <c r="O48" s="170"/>
      <c r="P48" s="213">
        <f aca="true" t="shared" si="15" ref="P48:Z48">P44/P13</f>
        <v>0.23639455782312926</v>
      </c>
      <c r="Q48" s="167">
        <f t="shared" si="15"/>
        <v>0.2180327868852459</v>
      </c>
      <c r="R48" s="167">
        <f t="shared" si="15"/>
        <v>0.2137809187279152</v>
      </c>
      <c r="S48" s="167">
        <f t="shared" si="15"/>
        <v>0.28664072632944226</v>
      </c>
      <c r="T48" s="167">
        <f t="shared" si="15"/>
        <v>0.24220907297830374</v>
      </c>
      <c r="U48" s="213">
        <f t="shared" si="15"/>
        <v>0.12931034482758622</v>
      </c>
      <c r="V48" s="167">
        <f t="shared" si="15"/>
        <v>0.3144758735440932</v>
      </c>
      <c r="W48" s="167">
        <f t="shared" si="15"/>
        <v>0.31209150326797386</v>
      </c>
      <c r="X48" s="167">
        <f t="shared" si="15"/>
        <v>0.311495673671199</v>
      </c>
      <c r="Y48" s="167">
        <f t="shared" si="15"/>
        <v>0.2717140661029977</v>
      </c>
      <c r="Z48" s="532">
        <f t="shared" si="15"/>
        <v>0.27586206896551724</v>
      </c>
    </row>
    <row r="49" spans="1:26" s="132" customFormat="1" ht="11.25">
      <c r="A49" s="126"/>
      <c r="B49" s="127" t="s">
        <v>36</v>
      </c>
      <c r="C49" s="128"/>
      <c r="D49" s="206">
        <v>0</v>
      </c>
      <c r="E49" s="129">
        <v>0</v>
      </c>
      <c r="F49" s="129">
        <v>0</v>
      </c>
      <c r="G49" s="129">
        <f>H49-D49-E49-F49</f>
        <v>0</v>
      </c>
      <c r="H49" s="129">
        <v>0</v>
      </c>
      <c r="I49" s="130"/>
      <c r="J49" s="206">
        <v>0</v>
      </c>
      <c r="K49" s="129">
        <v>0</v>
      </c>
      <c r="L49" s="167">
        <v>-0.15151515151515152</v>
      </c>
      <c r="M49" s="167">
        <v>-0.17732558139534885</v>
      </c>
      <c r="N49" s="167">
        <v>-0.16611842105263158</v>
      </c>
      <c r="O49" s="170"/>
      <c r="P49" s="213">
        <v>0.26582278481012656</v>
      </c>
      <c r="Q49" s="167">
        <v>0.1907356948228883</v>
      </c>
      <c r="R49" s="167">
        <v>-0.10452961672473868</v>
      </c>
      <c r="S49" s="167">
        <v>0.15330188679245282</v>
      </c>
      <c r="T49" s="167">
        <v>0.13558106169296988</v>
      </c>
      <c r="U49" s="213">
        <f>U45/459</f>
        <v>0.2657952069716776</v>
      </c>
      <c r="V49" s="167">
        <f>V45/(868-459)</f>
        <v>0.1784841075794621</v>
      </c>
      <c r="W49" s="167">
        <f>W45/(1436-459-409)</f>
        <v>0.3221830985915493</v>
      </c>
      <c r="X49" s="167">
        <f>X45/(1993-568-459-409)</f>
        <v>0.414721723518851</v>
      </c>
      <c r="Y49" s="167">
        <f>Y45/(1993)</f>
        <v>0.305569493226292</v>
      </c>
      <c r="Z49" s="532">
        <f>Z45/481</f>
        <v>0.3388773388773389</v>
      </c>
    </row>
    <row r="50" spans="1:26" s="132" customFormat="1" ht="22.5">
      <c r="A50" s="126"/>
      <c r="B50" s="148" t="s">
        <v>61</v>
      </c>
      <c r="C50" s="128"/>
      <c r="D50" s="214"/>
      <c r="E50" s="171"/>
      <c r="F50" s="171"/>
      <c r="G50" s="171"/>
      <c r="H50" s="171"/>
      <c r="I50" s="130"/>
      <c r="J50" s="214"/>
      <c r="K50" s="171"/>
      <c r="L50" s="172"/>
      <c r="M50" s="172"/>
      <c r="N50" s="172"/>
      <c r="O50" s="170"/>
      <c r="P50" s="213"/>
      <c r="Q50" s="167"/>
      <c r="R50" s="167"/>
      <c r="S50" s="167"/>
      <c r="T50" s="171"/>
      <c r="U50" s="214"/>
      <c r="V50" s="171"/>
      <c r="W50" s="171"/>
      <c r="X50" s="171"/>
      <c r="Y50" s="171"/>
      <c r="Z50" s="532"/>
    </row>
    <row r="51" spans="1:26" s="132" customFormat="1" ht="13.5" customHeight="1">
      <c r="A51" s="126"/>
      <c r="B51" s="173"/>
      <c r="C51" s="130"/>
      <c r="D51" s="214"/>
      <c r="E51" s="171"/>
      <c r="F51" s="171"/>
      <c r="G51" s="171"/>
      <c r="H51" s="171"/>
      <c r="I51" s="130"/>
      <c r="J51" s="214"/>
      <c r="K51" s="171"/>
      <c r="L51" s="171"/>
      <c r="M51" s="171"/>
      <c r="N51" s="171"/>
      <c r="O51" s="131"/>
      <c r="P51" s="206"/>
      <c r="Q51" s="167"/>
      <c r="R51" s="129"/>
      <c r="S51" s="129"/>
      <c r="T51" s="171"/>
      <c r="U51" s="214"/>
      <c r="V51" s="171"/>
      <c r="W51" s="171"/>
      <c r="X51" s="171"/>
      <c r="Y51" s="171"/>
      <c r="Z51" s="529"/>
    </row>
    <row r="52" spans="2:26" s="123" customFormat="1" ht="12" customHeight="1">
      <c r="B52" s="174" t="s">
        <v>37</v>
      </c>
      <c r="C52" s="153"/>
      <c r="D52" s="215">
        <v>1.9</v>
      </c>
      <c r="E52" s="175">
        <v>1.85</v>
      </c>
      <c r="F52" s="175">
        <v>1.96</v>
      </c>
      <c r="G52" s="175">
        <v>1.87</v>
      </c>
      <c r="H52" s="175">
        <v>1.89</v>
      </c>
      <c r="I52" s="176"/>
      <c r="J52" s="215">
        <v>1.6</v>
      </c>
      <c r="K52" s="175">
        <v>1.57</v>
      </c>
      <c r="L52" s="175">
        <v>1.64</v>
      </c>
      <c r="M52" s="175">
        <v>1.49</v>
      </c>
      <c r="N52" s="175">
        <v>1.59</v>
      </c>
      <c r="O52" s="177"/>
      <c r="P52" s="225">
        <v>1.39</v>
      </c>
      <c r="Q52" s="178">
        <v>1.4</v>
      </c>
      <c r="R52" s="178">
        <v>1.36</v>
      </c>
      <c r="S52" s="178">
        <v>1.49</v>
      </c>
      <c r="T52" s="175">
        <v>1.41</v>
      </c>
      <c r="U52" s="215">
        <v>1.53</v>
      </c>
      <c r="V52" s="175">
        <v>1.41</v>
      </c>
      <c r="W52" s="175">
        <v>1.65</v>
      </c>
      <c r="X52" s="175">
        <v>1.79</v>
      </c>
      <c r="Y52" s="175">
        <v>1.59</v>
      </c>
      <c r="Z52" s="531">
        <v>1.73</v>
      </c>
    </row>
    <row r="53" spans="1:26" s="132" customFormat="1" ht="11.25">
      <c r="A53" s="126"/>
      <c r="B53" s="127" t="s">
        <v>34</v>
      </c>
      <c r="C53" s="128"/>
      <c r="D53" s="216">
        <v>1.77</v>
      </c>
      <c r="E53" s="179">
        <v>1.82</v>
      </c>
      <c r="F53" s="179">
        <v>1.88</v>
      </c>
      <c r="G53" s="179">
        <v>1.82</v>
      </c>
      <c r="H53" s="179">
        <v>1.82</v>
      </c>
      <c r="I53" s="130"/>
      <c r="J53" s="216">
        <v>1.46</v>
      </c>
      <c r="K53" s="179">
        <v>1.52</v>
      </c>
      <c r="L53" s="179">
        <v>1.49</v>
      </c>
      <c r="M53" s="179">
        <v>1.4</v>
      </c>
      <c r="N53" s="179">
        <v>1.47</v>
      </c>
      <c r="O53" s="131"/>
      <c r="P53" s="226">
        <v>1.33</v>
      </c>
      <c r="Q53" s="180">
        <v>1.32</v>
      </c>
      <c r="R53" s="180">
        <v>1.18</v>
      </c>
      <c r="S53" s="180">
        <v>1.34</v>
      </c>
      <c r="T53" s="179">
        <v>1.3</v>
      </c>
      <c r="U53" s="216">
        <v>1.33</v>
      </c>
      <c r="V53" s="179">
        <v>1.34</v>
      </c>
      <c r="W53" s="179">
        <v>1.62</v>
      </c>
      <c r="X53" s="179">
        <v>1.84</v>
      </c>
      <c r="Y53" s="179">
        <v>1.52</v>
      </c>
      <c r="Z53" s="530">
        <v>1.74</v>
      </c>
    </row>
    <row r="54" spans="1:26" s="132" customFormat="1" ht="11.25">
      <c r="A54" s="126"/>
      <c r="B54" s="127" t="s">
        <v>35</v>
      </c>
      <c r="C54" s="128"/>
      <c r="D54" s="217">
        <v>2.74</v>
      </c>
      <c r="E54" s="181">
        <v>2.03</v>
      </c>
      <c r="F54" s="181">
        <v>2.25</v>
      </c>
      <c r="G54" s="181">
        <v>2.11</v>
      </c>
      <c r="H54" s="181">
        <v>2.26</v>
      </c>
      <c r="I54" s="130"/>
      <c r="J54" s="216">
        <v>2.21</v>
      </c>
      <c r="K54" s="179">
        <v>1.83</v>
      </c>
      <c r="L54" s="179">
        <v>1.74</v>
      </c>
      <c r="M54" s="179">
        <v>1.72</v>
      </c>
      <c r="N54" s="179">
        <v>1.87</v>
      </c>
      <c r="O54" s="131"/>
      <c r="P54" s="226">
        <v>1.48</v>
      </c>
      <c r="Q54" s="180">
        <v>1.59</v>
      </c>
      <c r="R54" s="180">
        <v>1.73</v>
      </c>
      <c r="S54" s="180">
        <v>1.72</v>
      </c>
      <c r="T54" s="181">
        <v>1.63</v>
      </c>
      <c r="U54" s="217">
        <v>2.35</v>
      </c>
      <c r="V54" s="181">
        <v>1.72</v>
      </c>
      <c r="W54" s="181">
        <v>1.9</v>
      </c>
      <c r="X54" s="181">
        <v>1.81</v>
      </c>
      <c r="Y54" s="181">
        <v>1.92</v>
      </c>
      <c r="Z54" s="530">
        <v>1.89</v>
      </c>
    </row>
    <row r="55" spans="1:26" s="132" customFormat="1" ht="11.25">
      <c r="A55" s="126"/>
      <c r="B55" s="127" t="s">
        <v>36</v>
      </c>
      <c r="C55" s="128"/>
      <c r="D55" s="218" t="s">
        <v>38</v>
      </c>
      <c r="E55" s="182" t="s">
        <v>38</v>
      </c>
      <c r="F55" s="182" t="s">
        <v>38</v>
      </c>
      <c r="G55" s="182" t="s">
        <v>38</v>
      </c>
      <c r="H55" s="182" t="s">
        <v>38</v>
      </c>
      <c r="I55" s="130"/>
      <c r="J55" s="217" t="s">
        <v>38</v>
      </c>
      <c r="K55" s="181" t="s">
        <v>38</v>
      </c>
      <c r="L55" s="181">
        <v>2.6</v>
      </c>
      <c r="M55" s="181">
        <v>2.56</v>
      </c>
      <c r="N55" s="181">
        <v>2.58</v>
      </c>
      <c r="O55" s="131"/>
      <c r="P55" s="226">
        <v>1.73</v>
      </c>
      <c r="Q55" s="180">
        <v>1.77</v>
      </c>
      <c r="R55" s="180">
        <v>2.19</v>
      </c>
      <c r="S55" s="180">
        <v>2.11</v>
      </c>
      <c r="T55" s="182">
        <v>1.96</v>
      </c>
      <c r="U55" s="218">
        <v>1.94</v>
      </c>
      <c r="V55" s="182">
        <v>1.53</v>
      </c>
      <c r="W55" s="182">
        <v>1.56</v>
      </c>
      <c r="X55" s="182">
        <v>1.44</v>
      </c>
      <c r="Y55" s="182">
        <v>1.67</v>
      </c>
      <c r="Z55" s="530">
        <v>1.43</v>
      </c>
    </row>
    <row r="56" spans="1:26" s="132" customFormat="1" ht="11.25">
      <c r="A56" s="126"/>
      <c r="B56" s="128"/>
      <c r="C56" s="128"/>
      <c r="D56" s="219"/>
      <c r="E56" s="183"/>
      <c r="F56" s="183"/>
      <c r="G56" s="183"/>
      <c r="H56" s="183"/>
      <c r="I56" s="130"/>
      <c r="J56" s="219"/>
      <c r="K56" s="183"/>
      <c r="L56" s="183"/>
      <c r="M56" s="183"/>
      <c r="N56" s="183"/>
      <c r="O56" s="131"/>
      <c r="P56" s="227"/>
      <c r="Q56" s="184"/>
      <c r="R56" s="184"/>
      <c r="S56" s="184"/>
      <c r="T56" s="183"/>
      <c r="U56" s="219"/>
      <c r="V56" s="183"/>
      <c r="W56" s="183"/>
      <c r="X56" s="183"/>
      <c r="Y56" s="183"/>
      <c r="Z56" s="110"/>
    </row>
    <row r="57" spans="2:26" s="132" customFormat="1" ht="12" customHeight="1">
      <c r="B57" s="153"/>
      <c r="C57" s="153"/>
      <c r="D57" s="219"/>
      <c r="E57" s="183"/>
      <c r="F57" s="183"/>
      <c r="G57" s="183"/>
      <c r="H57" s="183"/>
      <c r="I57" s="185"/>
      <c r="J57" s="219"/>
      <c r="K57" s="183"/>
      <c r="L57" s="183"/>
      <c r="M57" s="183"/>
      <c r="N57" s="183"/>
      <c r="O57" s="186"/>
      <c r="P57" s="228"/>
      <c r="Q57" s="186"/>
      <c r="R57" s="186"/>
      <c r="S57" s="186"/>
      <c r="T57" s="183"/>
      <c r="U57" s="219"/>
      <c r="V57" s="183"/>
      <c r="W57" s="183"/>
      <c r="X57" s="183"/>
      <c r="Y57" s="183"/>
      <c r="Z57" s="187"/>
    </row>
    <row r="58" spans="2:26" s="98" customFormat="1" ht="12" customHeight="1">
      <c r="B58" s="99" t="s">
        <v>19</v>
      </c>
      <c r="C58" s="99"/>
      <c r="D58" s="220"/>
      <c r="E58" s="100"/>
      <c r="F58" s="100"/>
      <c r="G58" s="100"/>
      <c r="H58" s="101"/>
      <c r="I58" s="102"/>
      <c r="J58" s="220"/>
      <c r="K58" s="100"/>
      <c r="L58" s="100"/>
      <c r="M58" s="100"/>
      <c r="N58" s="101"/>
      <c r="O58" s="63"/>
      <c r="P58" s="220"/>
      <c r="Q58" s="100"/>
      <c r="R58" s="100"/>
      <c r="S58" s="100"/>
      <c r="T58" s="100"/>
      <c r="U58" s="220"/>
      <c r="V58" s="100"/>
      <c r="W58" s="100"/>
      <c r="X58" s="100"/>
      <c r="Y58" s="100"/>
      <c r="Z58" s="63"/>
    </row>
    <row r="59" spans="2:26" s="98" customFormat="1" ht="12" customHeight="1">
      <c r="B59" s="103" t="s">
        <v>20</v>
      </c>
      <c r="C59" s="104"/>
      <c r="D59" s="208">
        <v>401</v>
      </c>
      <c r="E59" s="137">
        <v>392</v>
      </c>
      <c r="F59" s="137">
        <v>403</v>
      </c>
      <c r="G59" s="137">
        <v>439</v>
      </c>
      <c r="H59" s="137">
        <v>1635</v>
      </c>
      <c r="I59" s="138"/>
      <c r="J59" s="208">
        <v>564</v>
      </c>
      <c r="K59" s="137">
        <v>516</v>
      </c>
      <c r="L59" s="137">
        <v>486</v>
      </c>
      <c r="M59" s="137">
        <v>449</v>
      </c>
      <c r="N59" s="137">
        <v>2015</v>
      </c>
      <c r="O59" s="139"/>
      <c r="P59" s="208">
        <v>404</v>
      </c>
      <c r="Q59" s="137">
        <v>425</v>
      </c>
      <c r="R59" s="137">
        <v>435</v>
      </c>
      <c r="S59" s="137">
        <v>454</v>
      </c>
      <c r="T59" s="137">
        <v>1718</v>
      </c>
      <c r="U59" s="208">
        <v>405</v>
      </c>
      <c r="V59" s="137">
        <v>428</v>
      </c>
      <c r="W59" s="137">
        <v>404</v>
      </c>
      <c r="X59" s="137">
        <v>447</v>
      </c>
      <c r="Y59" s="137">
        <f aca="true" t="shared" si="16" ref="Y59:Y71">U59+V59+W59+X59</f>
        <v>1684</v>
      </c>
      <c r="Z59" s="529">
        <v>417</v>
      </c>
    </row>
    <row r="60" spans="2:26" s="98" customFormat="1" ht="12" customHeight="1">
      <c r="B60" s="103" t="s">
        <v>21</v>
      </c>
      <c r="C60" s="104"/>
      <c r="D60" s="208">
        <v>1160</v>
      </c>
      <c r="E60" s="137">
        <v>1137</v>
      </c>
      <c r="F60" s="137">
        <v>1166</v>
      </c>
      <c r="G60" s="137">
        <v>1241</v>
      </c>
      <c r="H60" s="137">
        <v>4704</v>
      </c>
      <c r="I60" s="138"/>
      <c r="J60" s="208">
        <v>1179</v>
      </c>
      <c r="K60" s="137">
        <v>1118</v>
      </c>
      <c r="L60" s="137">
        <v>1172</v>
      </c>
      <c r="M60" s="137">
        <v>1237</v>
      </c>
      <c r="N60" s="137">
        <v>4706</v>
      </c>
      <c r="O60" s="139"/>
      <c r="P60" s="208">
        <v>1128</v>
      </c>
      <c r="Q60" s="137">
        <v>1178</v>
      </c>
      <c r="R60" s="137">
        <v>1152</v>
      </c>
      <c r="S60" s="137">
        <v>1214</v>
      </c>
      <c r="T60" s="137">
        <v>4672</v>
      </c>
      <c r="U60" s="208">
        <v>1173</v>
      </c>
      <c r="V60" s="137">
        <v>1235</v>
      </c>
      <c r="W60" s="137">
        <v>1210</v>
      </c>
      <c r="X60" s="137">
        <v>1338</v>
      </c>
      <c r="Y60" s="137">
        <f t="shared" si="16"/>
        <v>4956</v>
      </c>
      <c r="Z60" s="529">
        <v>1223</v>
      </c>
    </row>
    <row r="61" spans="2:26" s="98" customFormat="1" ht="12" customHeight="1">
      <c r="B61" s="103" t="s">
        <v>22</v>
      </c>
      <c r="C61" s="104"/>
      <c r="D61" s="208">
        <v>1950</v>
      </c>
      <c r="E61" s="137">
        <v>1794</v>
      </c>
      <c r="F61" s="137">
        <v>1995</v>
      </c>
      <c r="G61" s="137">
        <v>1868</v>
      </c>
      <c r="H61" s="137">
        <v>7607</v>
      </c>
      <c r="I61" s="138"/>
      <c r="J61" s="208">
        <v>1755</v>
      </c>
      <c r="K61" s="137">
        <v>1949</v>
      </c>
      <c r="L61" s="137">
        <v>1673</v>
      </c>
      <c r="M61" s="137">
        <v>1887</v>
      </c>
      <c r="N61" s="137">
        <v>7264</v>
      </c>
      <c r="O61" s="139"/>
      <c r="P61" s="208">
        <v>1780</v>
      </c>
      <c r="Q61" s="137">
        <v>1819</v>
      </c>
      <c r="R61" s="137">
        <v>1550</v>
      </c>
      <c r="S61" s="137">
        <v>1886</v>
      </c>
      <c r="T61" s="137">
        <v>7035</v>
      </c>
      <c r="U61" s="208">
        <v>1770</v>
      </c>
      <c r="V61" s="137">
        <v>1844</v>
      </c>
      <c r="W61" s="137">
        <v>1972</v>
      </c>
      <c r="X61" s="137">
        <v>1874</v>
      </c>
      <c r="Y61" s="137">
        <f t="shared" si="16"/>
        <v>7460</v>
      </c>
      <c r="Z61" s="529">
        <v>1821</v>
      </c>
    </row>
    <row r="62" spans="2:26" s="98" customFormat="1" ht="12" customHeight="1">
      <c r="B62" s="103" t="s">
        <v>23</v>
      </c>
      <c r="C62" s="104"/>
      <c r="D62" s="208">
        <v>451</v>
      </c>
      <c r="E62" s="137">
        <v>433</v>
      </c>
      <c r="F62" s="137">
        <v>453</v>
      </c>
      <c r="G62" s="137">
        <v>476</v>
      </c>
      <c r="H62" s="137">
        <v>1813</v>
      </c>
      <c r="I62" s="138"/>
      <c r="J62" s="208">
        <v>418</v>
      </c>
      <c r="K62" s="137">
        <v>532</v>
      </c>
      <c r="L62" s="137">
        <v>545</v>
      </c>
      <c r="M62" s="137">
        <v>615</v>
      </c>
      <c r="N62" s="137">
        <v>2110</v>
      </c>
      <c r="O62" s="139"/>
      <c r="P62" s="208">
        <v>479</v>
      </c>
      <c r="Q62" s="137">
        <v>550</v>
      </c>
      <c r="R62" s="137">
        <v>524</v>
      </c>
      <c r="S62" s="137">
        <v>639</v>
      </c>
      <c r="T62" s="137">
        <v>2192</v>
      </c>
      <c r="U62" s="208">
        <v>455</v>
      </c>
      <c r="V62" s="137">
        <v>594</v>
      </c>
      <c r="W62" s="137">
        <v>481</v>
      </c>
      <c r="X62" s="137">
        <v>626</v>
      </c>
      <c r="Y62" s="137">
        <f t="shared" si="16"/>
        <v>2156</v>
      </c>
      <c r="Z62" s="529">
        <v>509</v>
      </c>
    </row>
    <row r="63" spans="2:26" s="98" customFormat="1" ht="12" customHeight="1">
      <c r="B63" s="103" t="s">
        <v>51</v>
      </c>
      <c r="C63" s="104"/>
      <c r="D63" s="208">
        <v>395</v>
      </c>
      <c r="E63" s="137">
        <v>353</v>
      </c>
      <c r="F63" s="137">
        <v>383</v>
      </c>
      <c r="G63" s="137">
        <v>389</v>
      </c>
      <c r="H63" s="137">
        <v>1520</v>
      </c>
      <c r="I63" s="138"/>
      <c r="J63" s="208">
        <v>393</v>
      </c>
      <c r="K63" s="137">
        <v>417</v>
      </c>
      <c r="L63" s="137">
        <v>325</v>
      </c>
      <c r="M63" s="137">
        <v>304</v>
      </c>
      <c r="N63" s="137">
        <v>1439</v>
      </c>
      <c r="O63" s="139"/>
      <c r="P63" s="208">
        <v>293</v>
      </c>
      <c r="Q63" s="137">
        <v>313</v>
      </c>
      <c r="R63" s="137">
        <v>336</v>
      </c>
      <c r="S63" s="137">
        <v>396</v>
      </c>
      <c r="T63" s="137">
        <v>1338</v>
      </c>
      <c r="U63" s="208">
        <v>466</v>
      </c>
      <c r="V63" s="137">
        <v>405</v>
      </c>
      <c r="W63" s="137">
        <v>438</v>
      </c>
      <c r="X63" s="137">
        <v>456</v>
      </c>
      <c r="Y63" s="137">
        <f t="shared" si="16"/>
        <v>1765</v>
      </c>
      <c r="Z63" s="529">
        <v>434</v>
      </c>
    </row>
    <row r="64" spans="2:26" s="98" customFormat="1" ht="12" customHeight="1">
      <c r="B64" s="103" t="s">
        <v>24</v>
      </c>
      <c r="C64" s="104"/>
      <c r="D64" s="208">
        <v>134</v>
      </c>
      <c r="E64" s="137">
        <v>103</v>
      </c>
      <c r="F64" s="137">
        <v>123</v>
      </c>
      <c r="G64" s="137">
        <v>128</v>
      </c>
      <c r="H64" s="137">
        <v>488</v>
      </c>
      <c r="I64" s="138"/>
      <c r="J64" s="208">
        <v>140</v>
      </c>
      <c r="K64" s="137">
        <v>109</v>
      </c>
      <c r="L64" s="137">
        <v>132</v>
      </c>
      <c r="M64" s="137">
        <v>123</v>
      </c>
      <c r="N64" s="137">
        <v>504</v>
      </c>
      <c r="O64" s="139"/>
      <c r="P64" s="208">
        <v>128</v>
      </c>
      <c r="Q64" s="137">
        <v>127</v>
      </c>
      <c r="R64" s="137">
        <v>119</v>
      </c>
      <c r="S64" s="137">
        <v>125</v>
      </c>
      <c r="T64" s="137">
        <v>499</v>
      </c>
      <c r="U64" s="208">
        <v>136</v>
      </c>
      <c r="V64" s="137">
        <v>125</v>
      </c>
      <c r="W64" s="137">
        <v>127</v>
      </c>
      <c r="X64" s="137">
        <v>118</v>
      </c>
      <c r="Y64" s="137">
        <f t="shared" si="16"/>
        <v>506</v>
      </c>
      <c r="Z64" s="529">
        <v>140</v>
      </c>
    </row>
    <row r="65" spans="2:26" s="98" customFormat="1" ht="24" customHeight="1">
      <c r="B65" s="103" t="s">
        <v>219</v>
      </c>
      <c r="C65" s="104"/>
      <c r="D65" s="208">
        <v>0</v>
      </c>
      <c r="E65" s="137">
        <v>0</v>
      </c>
      <c r="F65" s="137">
        <v>1</v>
      </c>
      <c r="G65" s="188">
        <v>42</v>
      </c>
      <c r="H65" s="137">
        <v>43</v>
      </c>
      <c r="I65" s="138"/>
      <c r="J65" s="208">
        <v>0</v>
      </c>
      <c r="K65" s="137">
        <v>0</v>
      </c>
      <c r="L65" s="137">
        <v>26</v>
      </c>
      <c r="M65" s="137">
        <v>2391</v>
      </c>
      <c r="N65" s="137">
        <v>2417</v>
      </c>
      <c r="O65" s="139"/>
      <c r="P65" s="208">
        <v>0</v>
      </c>
      <c r="Q65" s="137">
        <v>0</v>
      </c>
      <c r="R65" s="137">
        <v>0</v>
      </c>
      <c r="S65" s="137">
        <v>269</v>
      </c>
      <c r="T65" s="137">
        <v>269</v>
      </c>
      <c r="U65" s="208">
        <v>0</v>
      </c>
      <c r="V65" s="137">
        <v>0</v>
      </c>
      <c r="W65" s="137">
        <v>0</v>
      </c>
      <c r="X65" s="137">
        <v>-344</v>
      </c>
      <c r="Y65" s="137">
        <f t="shared" si="16"/>
        <v>-344</v>
      </c>
      <c r="Z65" s="529">
        <v>0</v>
      </c>
    </row>
    <row r="66" spans="2:26" s="98" customFormat="1" ht="12" customHeight="1">
      <c r="B66" s="103" t="s">
        <v>25</v>
      </c>
      <c r="C66" s="104"/>
      <c r="D66" s="208">
        <v>35</v>
      </c>
      <c r="E66" s="137">
        <v>68</v>
      </c>
      <c r="F66" s="137">
        <v>64</v>
      </c>
      <c r="G66" s="188">
        <v>136</v>
      </c>
      <c r="H66" s="137">
        <v>303</v>
      </c>
      <c r="I66" s="139"/>
      <c r="J66" s="208">
        <v>50</v>
      </c>
      <c r="K66" s="137">
        <v>126</v>
      </c>
      <c r="L66" s="137">
        <v>80</v>
      </c>
      <c r="M66" s="137">
        <v>115</v>
      </c>
      <c r="N66" s="137">
        <v>371</v>
      </c>
      <c r="O66" s="139"/>
      <c r="P66" s="208">
        <v>43</v>
      </c>
      <c r="Q66" s="137">
        <v>64</v>
      </c>
      <c r="R66" s="137">
        <v>95</v>
      </c>
      <c r="S66" s="137">
        <v>72</v>
      </c>
      <c r="T66" s="137">
        <v>274</v>
      </c>
      <c r="U66" s="208">
        <v>52</v>
      </c>
      <c r="V66" s="137">
        <v>62</v>
      </c>
      <c r="W66" s="137">
        <v>48</v>
      </c>
      <c r="X66" s="137">
        <v>178</v>
      </c>
      <c r="Y66" s="137">
        <f t="shared" si="16"/>
        <v>340</v>
      </c>
      <c r="Z66" s="529">
        <v>52</v>
      </c>
    </row>
    <row r="67" spans="2:26" s="98" customFormat="1" ht="12" customHeight="1">
      <c r="B67" s="189" t="s">
        <v>26</v>
      </c>
      <c r="C67" s="190"/>
      <c r="D67" s="221">
        <f>SUM(D59:D66)</f>
        <v>4526</v>
      </c>
      <c r="E67" s="191">
        <f>SUM(E59:E66)</f>
        <v>4280</v>
      </c>
      <c r="F67" s="191">
        <f>SUM(F59:F66)</f>
        <v>4588</v>
      </c>
      <c r="G67" s="191">
        <f>SUM(G59:G66)</f>
        <v>4719</v>
      </c>
      <c r="H67" s="191">
        <f>SUM(H59:H66)</f>
        <v>18113</v>
      </c>
      <c r="I67" s="192"/>
      <c r="J67" s="221">
        <f>SUM(J59:J66)</f>
        <v>4499</v>
      </c>
      <c r="K67" s="191">
        <f>SUM(K59:K66)</f>
        <v>4767</v>
      </c>
      <c r="L67" s="191">
        <f>SUM(L59:L66)</f>
        <v>4439</v>
      </c>
      <c r="M67" s="191">
        <f>SUM(M59:M66)</f>
        <v>7121</v>
      </c>
      <c r="N67" s="191">
        <f>SUM(N59:N66)</f>
        <v>20826</v>
      </c>
      <c r="O67" s="192"/>
      <c r="P67" s="221">
        <f aca="true" t="shared" si="17" ref="P67:X67">SUM(P59:P66)</f>
        <v>4255</v>
      </c>
      <c r="Q67" s="191">
        <f t="shared" si="17"/>
        <v>4476</v>
      </c>
      <c r="R67" s="191">
        <f t="shared" si="17"/>
        <v>4211</v>
      </c>
      <c r="S67" s="191">
        <f t="shared" si="17"/>
        <v>5055</v>
      </c>
      <c r="T67" s="191">
        <f t="shared" si="17"/>
        <v>17997</v>
      </c>
      <c r="U67" s="221">
        <f t="shared" si="17"/>
        <v>4457</v>
      </c>
      <c r="V67" s="191">
        <f t="shared" si="17"/>
        <v>4693</v>
      </c>
      <c r="W67" s="191">
        <f t="shared" si="17"/>
        <v>4680</v>
      </c>
      <c r="X67" s="191">
        <f t="shared" si="17"/>
        <v>4693</v>
      </c>
      <c r="Y67" s="191">
        <f t="shared" si="16"/>
        <v>18523</v>
      </c>
      <c r="Z67" s="529">
        <f>SUM(Z59:Z66)</f>
        <v>4596</v>
      </c>
    </row>
    <row r="68" spans="2:26" s="98" customFormat="1" ht="12" customHeight="1">
      <c r="B68" s="103" t="s">
        <v>27</v>
      </c>
      <c r="C68" s="104"/>
      <c r="D68" s="208">
        <v>111</v>
      </c>
      <c r="E68" s="137">
        <v>142</v>
      </c>
      <c r="F68" s="137">
        <v>130</v>
      </c>
      <c r="G68" s="137">
        <v>151</v>
      </c>
      <c r="H68" s="137">
        <v>534</v>
      </c>
      <c r="I68" s="138"/>
      <c r="J68" s="208">
        <v>117</v>
      </c>
      <c r="K68" s="137">
        <v>126</v>
      </c>
      <c r="L68" s="137">
        <v>146</v>
      </c>
      <c r="M68" s="137">
        <v>116</v>
      </c>
      <c r="N68" s="137">
        <v>505</v>
      </c>
      <c r="O68" s="139"/>
      <c r="P68" s="208">
        <v>90</v>
      </c>
      <c r="Q68" s="137">
        <v>122</v>
      </c>
      <c r="R68" s="137">
        <v>105</v>
      </c>
      <c r="S68" s="137">
        <v>119</v>
      </c>
      <c r="T68" s="137">
        <v>436</v>
      </c>
      <c r="U68" s="208">
        <v>160</v>
      </c>
      <c r="V68" s="137">
        <v>133</v>
      </c>
      <c r="W68" s="137">
        <v>144</v>
      </c>
      <c r="X68" s="137">
        <v>134</v>
      </c>
      <c r="Y68" s="137">
        <f t="shared" si="16"/>
        <v>571</v>
      </c>
      <c r="Z68" s="529">
        <v>163</v>
      </c>
    </row>
    <row r="69" spans="2:26" s="98" customFormat="1" ht="12" customHeight="1">
      <c r="B69" s="103" t="s">
        <v>28</v>
      </c>
      <c r="C69" s="104"/>
      <c r="D69" s="208">
        <v>-315</v>
      </c>
      <c r="E69" s="137">
        <v>-119</v>
      </c>
      <c r="F69" s="137">
        <v>-59</v>
      </c>
      <c r="G69" s="137">
        <v>498</v>
      </c>
      <c r="H69" s="137">
        <v>5</v>
      </c>
      <c r="I69" s="138"/>
      <c r="J69" s="208">
        <v>-253</v>
      </c>
      <c r="K69" s="137">
        <v>-192</v>
      </c>
      <c r="L69" s="137">
        <v>141</v>
      </c>
      <c r="M69" s="137">
        <v>300</v>
      </c>
      <c r="N69" s="137">
        <v>-4</v>
      </c>
      <c r="O69" s="139"/>
      <c r="P69" s="208">
        <v>-573</v>
      </c>
      <c r="Q69" s="137">
        <v>-226</v>
      </c>
      <c r="R69" s="137">
        <v>18</v>
      </c>
      <c r="S69" s="137">
        <v>556</v>
      </c>
      <c r="T69" s="137">
        <v>-225</v>
      </c>
      <c r="U69" s="208">
        <v>-531</v>
      </c>
      <c r="V69" s="137">
        <v>-314</v>
      </c>
      <c r="W69" s="137">
        <v>-613</v>
      </c>
      <c r="X69" s="137">
        <v>379</v>
      </c>
      <c r="Y69" s="137">
        <f t="shared" si="16"/>
        <v>-1079</v>
      </c>
      <c r="Z69" s="529">
        <v>-836</v>
      </c>
    </row>
    <row r="70" spans="2:26" s="98" customFormat="1" ht="24" customHeight="1">
      <c r="B70" s="103" t="s">
        <v>50</v>
      </c>
      <c r="C70" s="104"/>
      <c r="D70" s="208">
        <v>-333</v>
      </c>
      <c r="E70" s="137">
        <v>-333</v>
      </c>
      <c r="F70" s="137">
        <v>-393</v>
      </c>
      <c r="G70" s="137">
        <v>-454</v>
      </c>
      <c r="H70" s="137">
        <v>-1513</v>
      </c>
      <c r="I70" s="139"/>
      <c r="J70" s="208">
        <v>-355</v>
      </c>
      <c r="K70" s="137">
        <v>-415</v>
      </c>
      <c r="L70" s="137">
        <v>-434</v>
      </c>
      <c r="M70" s="137">
        <v>-621</v>
      </c>
      <c r="N70" s="137">
        <v>-1825</v>
      </c>
      <c r="O70" s="139"/>
      <c r="P70" s="208">
        <v>-350</v>
      </c>
      <c r="Q70" s="137">
        <v>-456</v>
      </c>
      <c r="R70" s="137">
        <v>-344</v>
      </c>
      <c r="S70" s="137">
        <v>-446</v>
      </c>
      <c r="T70" s="137">
        <v>-1596</v>
      </c>
      <c r="U70" s="208">
        <v>-249</v>
      </c>
      <c r="V70" s="137">
        <v>-513</v>
      </c>
      <c r="W70" s="137">
        <v>-301</v>
      </c>
      <c r="X70" s="137">
        <v>-405</v>
      </c>
      <c r="Y70" s="137">
        <f t="shared" si="16"/>
        <v>-1468</v>
      </c>
      <c r="Z70" s="529">
        <v>-316</v>
      </c>
    </row>
    <row r="71" spans="2:26" s="98" customFormat="1" ht="24" customHeight="1">
      <c r="B71" s="193" t="s">
        <v>146</v>
      </c>
      <c r="C71" s="190"/>
      <c r="D71" s="221">
        <f>SUM(D67:D70)</f>
        <v>3989</v>
      </c>
      <c r="E71" s="191">
        <f>SUM(E67:E70)</f>
        <v>3970</v>
      </c>
      <c r="F71" s="191">
        <f>SUM(F67:F70)</f>
        <v>4266</v>
      </c>
      <c r="G71" s="191">
        <f>SUM(G67:G70)</f>
        <v>4914</v>
      </c>
      <c r="H71" s="191">
        <f>SUM(H67:H70)</f>
        <v>17139</v>
      </c>
      <c r="I71" s="192"/>
      <c r="J71" s="221">
        <f>SUM(J67:J70)</f>
        <v>4008</v>
      </c>
      <c r="K71" s="191">
        <f>SUM(K67:K70)</f>
        <v>4286</v>
      </c>
      <c r="L71" s="191">
        <f>SUM(L67:L70)</f>
        <v>4292</v>
      </c>
      <c r="M71" s="191">
        <f>SUM(M67:M70)</f>
        <v>6916</v>
      </c>
      <c r="N71" s="191">
        <f>SUM(N67:N70)</f>
        <v>19502</v>
      </c>
      <c r="O71" s="192"/>
      <c r="P71" s="221">
        <f aca="true" t="shared" si="18" ref="P71:X71">SUM(P67:P70)</f>
        <v>3422</v>
      </c>
      <c r="Q71" s="191">
        <f t="shared" si="18"/>
        <v>3916</v>
      </c>
      <c r="R71" s="191">
        <f t="shared" si="18"/>
        <v>3990</v>
      </c>
      <c r="S71" s="191">
        <f t="shared" si="18"/>
        <v>5284</v>
      </c>
      <c r="T71" s="191">
        <f t="shared" si="18"/>
        <v>16612</v>
      </c>
      <c r="U71" s="221">
        <f t="shared" si="18"/>
        <v>3837</v>
      </c>
      <c r="V71" s="191">
        <f t="shared" si="18"/>
        <v>3999</v>
      </c>
      <c r="W71" s="191">
        <f t="shared" si="18"/>
        <v>3910</v>
      </c>
      <c r="X71" s="191">
        <f t="shared" si="18"/>
        <v>4801</v>
      </c>
      <c r="Y71" s="191">
        <f t="shared" si="16"/>
        <v>16547</v>
      </c>
      <c r="Z71" s="529">
        <f>SUM(Z67:Z70)</f>
        <v>3607</v>
      </c>
    </row>
    <row r="72" spans="1:25" ht="11.25" customHeight="1">
      <c r="A72" s="194"/>
      <c r="B72" s="194"/>
      <c r="C72" s="190"/>
      <c r="D72" s="98"/>
      <c r="E72" s="195"/>
      <c r="F72" s="98"/>
      <c r="T72" s="98"/>
      <c r="U72" s="98"/>
      <c r="V72" s="98"/>
      <c r="W72" s="98"/>
      <c r="X72" s="98"/>
      <c r="Y72" s="98"/>
    </row>
  </sheetData>
  <sheetProtection/>
  <printOptions horizontalCentered="1"/>
  <pageMargins left="0.7874015748031497" right="0.7874015748031497" top="1.299212598425197" bottom="0.984251968503937" header="0.5118110236220472" footer="0.5118110236220472"/>
  <pageSetup fitToHeight="1" fitToWidth="1" horizontalDpi="1200" verticalDpi="1200" orientation="portrait" paperSize="8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1"/>
  <sheetViews>
    <sheetView zoomScale="120" zoomScaleNormal="120" zoomScalePageLayoutView="0" workbookViewId="0" topLeftCell="A1">
      <pane xSplit="4" ySplit="2" topLeftCell="T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C3" sqref="AC3"/>
    </sheetView>
  </sheetViews>
  <sheetFormatPr defaultColWidth="9.140625" defaultRowHeight="12.75"/>
  <cols>
    <col min="1" max="1" width="55.421875" style="0" customWidth="1"/>
    <col min="2" max="2" width="0.9921875" style="59" customWidth="1"/>
    <col min="3" max="3" width="8.8515625" style="10" customWidth="1"/>
    <col min="4" max="4" width="0.9921875" style="11" customWidth="1"/>
    <col min="5" max="8" width="8.8515625" style="12" customWidth="1"/>
    <col min="9" max="9" width="8.8515625" style="10" customWidth="1"/>
    <col min="10" max="10" width="0.85546875" style="12" customWidth="1"/>
    <col min="11" max="14" width="8.8515625" style="12" customWidth="1"/>
    <col min="15" max="15" width="8.8515625" style="10" customWidth="1"/>
    <col min="16" max="16" width="2.7109375" style="12" customWidth="1"/>
    <col min="17" max="20" width="8.8515625" style="12" customWidth="1"/>
    <col min="21" max="22" width="8.8515625" style="10" customWidth="1"/>
  </cols>
  <sheetData>
    <row r="1" spans="1:2" ht="15">
      <c r="A1" s="6" t="s">
        <v>65</v>
      </c>
      <c r="B1" s="9"/>
    </row>
    <row r="2" spans="1:22" ht="15" customHeight="1">
      <c r="A2" s="13"/>
      <c r="B2" s="14"/>
      <c r="C2" s="15">
        <v>2014</v>
      </c>
      <c r="D2" s="15"/>
      <c r="E2" s="15" t="s">
        <v>9</v>
      </c>
      <c r="F2" s="15" t="s">
        <v>10</v>
      </c>
      <c r="G2" s="15" t="s">
        <v>11</v>
      </c>
      <c r="H2" s="15" t="s">
        <v>12</v>
      </c>
      <c r="I2" s="15" t="s">
        <v>66</v>
      </c>
      <c r="J2" s="15"/>
      <c r="K2" s="15" t="s">
        <v>13</v>
      </c>
      <c r="L2" s="15" t="s">
        <v>14</v>
      </c>
      <c r="M2" s="15" t="s">
        <v>15</v>
      </c>
      <c r="N2" s="15" t="s">
        <v>16</v>
      </c>
      <c r="O2" s="15" t="s">
        <v>67</v>
      </c>
      <c r="Q2" s="15" t="s">
        <v>63</v>
      </c>
      <c r="R2" s="15" t="s">
        <v>64</v>
      </c>
      <c r="S2" s="15" t="s">
        <v>68</v>
      </c>
      <c r="T2" s="15" t="s">
        <v>69</v>
      </c>
      <c r="U2" s="15">
        <v>2017</v>
      </c>
      <c r="V2" s="15" t="s">
        <v>224</v>
      </c>
    </row>
    <row r="3" spans="1:22" s="23" customFormat="1" ht="12" customHeight="1">
      <c r="A3" s="16" t="s">
        <v>70</v>
      </c>
      <c r="B3" s="17"/>
      <c r="C3" s="21">
        <v>3098</v>
      </c>
      <c r="D3" s="19"/>
      <c r="E3" s="21">
        <v>577</v>
      </c>
      <c r="F3" s="18">
        <v>1116</v>
      </c>
      <c r="G3" s="18">
        <v>147</v>
      </c>
      <c r="H3" s="18">
        <v>-6962</v>
      </c>
      <c r="I3" s="18">
        <v>-5122</v>
      </c>
      <c r="J3" s="20"/>
      <c r="K3" s="21">
        <v>343</v>
      </c>
      <c r="L3" s="18">
        <v>340</v>
      </c>
      <c r="M3" s="18">
        <v>531</v>
      </c>
      <c r="N3" s="18">
        <v>-5015</v>
      </c>
      <c r="O3" s="18">
        <v>-3801</v>
      </c>
      <c r="P3" s="10"/>
      <c r="Q3" s="21">
        <v>1031</v>
      </c>
      <c r="R3" s="18">
        <v>618</v>
      </c>
      <c r="S3" s="18">
        <v>787</v>
      </c>
      <c r="T3" s="18">
        <v>-137</v>
      </c>
      <c r="U3" s="18">
        <v>2299</v>
      </c>
      <c r="V3" s="22">
        <v>661</v>
      </c>
    </row>
    <row r="4" spans="1:22" ht="12" customHeight="1">
      <c r="A4" s="24" t="s">
        <v>71</v>
      </c>
      <c r="B4" s="25"/>
      <c r="C4" s="29">
        <v>1635</v>
      </c>
      <c r="D4" s="27"/>
      <c r="E4" s="29">
        <v>564</v>
      </c>
      <c r="F4" s="26">
        <v>380</v>
      </c>
      <c r="G4" s="26">
        <v>530</v>
      </c>
      <c r="H4" s="26">
        <v>469</v>
      </c>
      <c r="I4" s="26">
        <v>1943</v>
      </c>
      <c r="J4" s="28"/>
      <c r="K4" s="29">
        <v>397</v>
      </c>
      <c r="L4" s="26">
        <v>413</v>
      </c>
      <c r="M4" s="26">
        <v>431</v>
      </c>
      <c r="N4" s="26">
        <v>457</v>
      </c>
      <c r="O4" s="26">
        <v>1698</v>
      </c>
      <c r="Q4" s="29">
        <v>371</v>
      </c>
      <c r="R4" s="26">
        <v>401</v>
      </c>
      <c r="S4" s="26">
        <v>383</v>
      </c>
      <c r="T4" s="26">
        <v>454</v>
      </c>
      <c r="U4" s="26">
        <v>1609</v>
      </c>
      <c r="V4" s="7">
        <v>350</v>
      </c>
    </row>
    <row r="5" spans="1:22" ht="12" customHeight="1">
      <c r="A5" s="24" t="s">
        <v>72</v>
      </c>
      <c r="B5" s="25"/>
      <c r="C5" s="29">
        <v>252</v>
      </c>
      <c r="D5" s="27"/>
      <c r="E5" s="29">
        <v>0</v>
      </c>
      <c r="F5" s="26">
        <v>1</v>
      </c>
      <c r="G5" s="26">
        <v>312</v>
      </c>
      <c r="H5" s="26">
        <v>4144</v>
      </c>
      <c r="I5" s="26">
        <v>4457</v>
      </c>
      <c r="J5" s="28"/>
      <c r="K5" s="29">
        <v>221</v>
      </c>
      <c r="L5" s="26">
        <v>255</v>
      </c>
      <c r="M5" s="26">
        <v>351</v>
      </c>
      <c r="N5" s="26">
        <v>373</v>
      </c>
      <c r="O5" s="26">
        <v>1200</v>
      </c>
      <c r="Q5" s="29">
        <v>0</v>
      </c>
      <c r="R5" s="26">
        <v>215</v>
      </c>
      <c r="S5" s="26">
        <v>0</v>
      </c>
      <c r="T5" s="26">
        <v>259</v>
      </c>
      <c r="U5" s="26">
        <v>474</v>
      </c>
      <c r="V5" s="7">
        <v>0</v>
      </c>
    </row>
    <row r="6" spans="1:22" ht="12" customHeight="1">
      <c r="A6" s="30" t="s">
        <v>3</v>
      </c>
      <c r="B6" s="31"/>
      <c r="C6" s="29">
        <v>15</v>
      </c>
      <c r="D6" s="27"/>
      <c r="E6" s="29">
        <v>0</v>
      </c>
      <c r="F6" s="26">
        <v>0</v>
      </c>
      <c r="G6" s="26">
        <v>0</v>
      </c>
      <c r="H6" s="26">
        <v>671</v>
      </c>
      <c r="I6" s="26">
        <v>671</v>
      </c>
      <c r="J6" s="28"/>
      <c r="K6" s="29">
        <v>0</v>
      </c>
      <c r="L6" s="26">
        <v>0</v>
      </c>
      <c r="M6" s="26">
        <v>0</v>
      </c>
      <c r="N6" s="26">
        <v>0</v>
      </c>
      <c r="O6" s="26">
        <v>0</v>
      </c>
      <c r="Q6" s="29">
        <v>0</v>
      </c>
      <c r="R6" s="26">
        <v>0</v>
      </c>
      <c r="S6" s="26">
        <v>0</v>
      </c>
      <c r="T6" s="26">
        <v>0</v>
      </c>
      <c r="U6" s="26">
        <v>0</v>
      </c>
      <c r="V6" s="7">
        <v>0</v>
      </c>
    </row>
    <row r="7" spans="1:22" ht="12" customHeight="1">
      <c r="A7" s="32" t="s">
        <v>4</v>
      </c>
      <c r="B7" s="33"/>
      <c r="C7" s="29">
        <v>0</v>
      </c>
      <c r="D7" s="27"/>
      <c r="E7" s="29">
        <v>0</v>
      </c>
      <c r="F7" s="26">
        <v>0</v>
      </c>
      <c r="G7" s="26">
        <v>0</v>
      </c>
      <c r="H7" s="26">
        <v>0</v>
      </c>
      <c r="I7" s="26">
        <v>0</v>
      </c>
      <c r="J7" s="28"/>
      <c r="K7" s="29">
        <v>0</v>
      </c>
      <c r="L7" s="26">
        <v>0</v>
      </c>
      <c r="M7" s="26">
        <v>0</v>
      </c>
      <c r="N7" s="26">
        <v>4394</v>
      </c>
      <c r="O7" s="26">
        <v>4394</v>
      </c>
      <c r="Q7" s="29">
        <v>0</v>
      </c>
      <c r="R7" s="26">
        <v>0</v>
      </c>
      <c r="S7" s="26">
        <v>0</v>
      </c>
      <c r="T7" s="26">
        <v>0</v>
      </c>
      <c r="U7" s="26">
        <v>0</v>
      </c>
      <c r="V7" s="34">
        <v>0</v>
      </c>
    </row>
    <row r="8" spans="1:22" ht="12" customHeight="1">
      <c r="A8" s="24" t="s">
        <v>73</v>
      </c>
      <c r="B8" s="25"/>
      <c r="C8" s="29">
        <v>-282</v>
      </c>
      <c r="D8" s="27"/>
      <c r="E8" s="29">
        <v>-82</v>
      </c>
      <c r="F8" s="26">
        <v>-95</v>
      </c>
      <c r="G8" s="26">
        <v>-142</v>
      </c>
      <c r="H8" s="26">
        <v>-147</v>
      </c>
      <c r="I8" s="26">
        <v>-466</v>
      </c>
      <c r="J8" s="28"/>
      <c r="K8" s="29">
        <v>-153</v>
      </c>
      <c r="L8" s="26">
        <v>-153</v>
      </c>
      <c r="M8" s="26">
        <v>-159</v>
      </c>
      <c r="N8" s="26">
        <v>-168</v>
      </c>
      <c r="O8" s="26">
        <v>-633</v>
      </c>
      <c r="Q8" s="29">
        <v>-82</v>
      </c>
      <c r="R8" s="26">
        <v>-79</v>
      </c>
      <c r="S8" s="26">
        <v>-79</v>
      </c>
      <c r="T8" s="26">
        <v>-79</v>
      </c>
      <c r="U8" s="26">
        <v>-319</v>
      </c>
      <c r="V8" s="7">
        <v>-81</v>
      </c>
    </row>
    <row r="9" spans="1:22" ht="12" customHeight="1">
      <c r="A9" s="24" t="s">
        <v>74</v>
      </c>
      <c r="B9" s="25"/>
      <c r="C9" s="29">
        <v>142</v>
      </c>
      <c r="D9" s="27"/>
      <c r="E9" s="29">
        <v>53</v>
      </c>
      <c r="F9" s="26">
        <v>88</v>
      </c>
      <c r="G9" s="26">
        <v>31</v>
      </c>
      <c r="H9" s="26">
        <v>29</v>
      </c>
      <c r="I9" s="26">
        <v>201</v>
      </c>
      <c r="J9" s="28"/>
      <c r="K9" s="29">
        <v>29</v>
      </c>
      <c r="L9" s="26">
        <v>30</v>
      </c>
      <c r="M9" s="26">
        <v>44</v>
      </c>
      <c r="N9" s="26">
        <v>49</v>
      </c>
      <c r="O9" s="26">
        <v>152</v>
      </c>
      <c r="Q9" s="29">
        <v>44</v>
      </c>
      <c r="R9" s="26">
        <v>34</v>
      </c>
      <c r="S9" s="26">
        <v>35</v>
      </c>
      <c r="T9" s="26">
        <v>35</v>
      </c>
      <c r="U9" s="26">
        <v>148</v>
      </c>
      <c r="V9" s="7">
        <v>34</v>
      </c>
    </row>
    <row r="10" spans="1:22" ht="12" customHeight="1">
      <c r="A10" s="35" t="s">
        <v>75</v>
      </c>
      <c r="B10" s="36"/>
      <c r="C10" s="29">
        <v>66</v>
      </c>
      <c r="D10" s="27"/>
      <c r="E10" s="29">
        <v>0</v>
      </c>
      <c r="F10" s="26">
        <v>3</v>
      </c>
      <c r="G10" s="26">
        <v>211</v>
      </c>
      <c r="H10" s="26">
        <v>2756</v>
      </c>
      <c r="I10" s="26">
        <v>2970</v>
      </c>
      <c r="J10" s="28"/>
      <c r="K10" s="29">
        <v>57</v>
      </c>
      <c r="L10" s="26">
        <v>9</v>
      </c>
      <c r="M10" s="26">
        <v>5</v>
      </c>
      <c r="N10" s="26">
        <v>1461</v>
      </c>
      <c r="O10" s="26">
        <v>1532</v>
      </c>
      <c r="Q10" s="29">
        <v>0</v>
      </c>
      <c r="R10" s="26">
        <v>1</v>
      </c>
      <c r="S10" s="26">
        <v>0</v>
      </c>
      <c r="T10" s="26">
        <v>502</v>
      </c>
      <c r="U10" s="26">
        <v>503</v>
      </c>
      <c r="V10" s="7">
        <v>10</v>
      </c>
    </row>
    <row r="11" spans="1:22" ht="12" customHeight="1">
      <c r="A11" s="24" t="s">
        <v>76</v>
      </c>
      <c r="B11" s="25"/>
      <c r="C11" s="29">
        <v>272</v>
      </c>
      <c r="D11" s="27"/>
      <c r="E11" s="29">
        <v>240</v>
      </c>
      <c r="F11" s="26">
        <v>-446</v>
      </c>
      <c r="G11" s="26">
        <v>91</v>
      </c>
      <c r="H11" s="26">
        <v>-17</v>
      </c>
      <c r="I11" s="26">
        <v>-132</v>
      </c>
      <c r="J11" s="28"/>
      <c r="K11" s="29">
        <v>-254</v>
      </c>
      <c r="L11" s="26">
        <v>163</v>
      </c>
      <c r="M11" s="26">
        <v>-96</v>
      </c>
      <c r="N11" s="26">
        <v>-18</v>
      </c>
      <c r="O11" s="26">
        <v>-205</v>
      </c>
      <c r="Q11" s="29">
        <v>7</v>
      </c>
      <c r="R11" s="26">
        <v>-129</v>
      </c>
      <c r="S11" s="26">
        <v>144</v>
      </c>
      <c r="T11" s="26">
        <v>297</v>
      </c>
      <c r="U11" s="26">
        <f>210-25+202-68</f>
        <v>319</v>
      </c>
      <c r="V11" s="34">
        <v>84</v>
      </c>
    </row>
    <row r="12" spans="1:22" s="23" customFormat="1" ht="12" customHeight="1">
      <c r="A12" s="16" t="s">
        <v>77</v>
      </c>
      <c r="B12" s="17"/>
      <c r="C12" s="21">
        <f>SUM(C4:C11)</f>
        <v>2100</v>
      </c>
      <c r="D12" s="19"/>
      <c r="E12" s="21">
        <f>SUM(E4:E11)</f>
        <v>775</v>
      </c>
      <c r="F12" s="18">
        <f>SUM(F4:F11)</f>
        <v>-69</v>
      </c>
      <c r="G12" s="18">
        <f>SUM(G4:G11)</f>
        <v>1033</v>
      </c>
      <c r="H12" s="18">
        <f>SUM(H4:H11)</f>
        <v>7905</v>
      </c>
      <c r="I12" s="18">
        <f>SUM(I4:I11)</f>
        <v>9644</v>
      </c>
      <c r="J12" s="20"/>
      <c r="K12" s="21">
        <f>SUM(K4:K11)</f>
        <v>297</v>
      </c>
      <c r="L12" s="18">
        <f>SUM(L4:L11)</f>
        <v>717</v>
      </c>
      <c r="M12" s="18">
        <f>SUM(M4:M11)</f>
        <v>576</v>
      </c>
      <c r="N12" s="18">
        <f>SUM(N4:N11)</f>
        <v>6548</v>
      </c>
      <c r="O12" s="18">
        <f>SUM(O4:O11)</f>
        <v>8138</v>
      </c>
      <c r="P12" s="10"/>
      <c r="Q12" s="21">
        <f aca="true" t="shared" si="0" ref="Q12:V12">SUM(Q4:Q11)</f>
        <v>340</v>
      </c>
      <c r="R12" s="18">
        <f t="shared" si="0"/>
        <v>443</v>
      </c>
      <c r="S12" s="18">
        <f t="shared" si="0"/>
        <v>483</v>
      </c>
      <c r="T12" s="18">
        <f t="shared" si="0"/>
        <v>1468</v>
      </c>
      <c r="U12" s="18">
        <f t="shared" si="0"/>
        <v>2734</v>
      </c>
      <c r="V12" s="3">
        <f t="shared" si="0"/>
        <v>397</v>
      </c>
    </row>
    <row r="13" spans="1:22" ht="12" customHeight="1">
      <c r="A13" s="37" t="s">
        <v>78</v>
      </c>
      <c r="B13" s="38"/>
      <c r="C13" s="29">
        <v>-868</v>
      </c>
      <c r="D13" s="27"/>
      <c r="E13" s="29">
        <v>-237</v>
      </c>
      <c r="F13" s="26">
        <v>-219</v>
      </c>
      <c r="G13" s="26">
        <v>-235</v>
      </c>
      <c r="H13" s="26">
        <v>-234</v>
      </c>
      <c r="I13" s="26">
        <v>-925</v>
      </c>
      <c r="J13" s="28"/>
      <c r="K13" s="29">
        <v>-62</v>
      </c>
      <c r="L13" s="26">
        <v>-65</v>
      </c>
      <c r="M13" s="26">
        <v>-208</v>
      </c>
      <c r="N13" s="26">
        <v>-116</v>
      </c>
      <c r="O13" s="26">
        <v>-451</v>
      </c>
      <c r="Q13" s="29">
        <v>-416</v>
      </c>
      <c r="R13" s="26">
        <v>-287</v>
      </c>
      <c r="S13" s="26">
        <v>-115</v>
      </c>
      <c r="T13" s="26">
        <v>-165</v>
      </c>
      <c r="U13" s="26">
        <v>-983</v>
      </c>
      <c r="V13" s="7">
        <v>-167</v>
      </c>
    </row>
    <row r="14" spans="1:22" ht="12" customHeight="1">
      <c r="A14" s="37" t="s">
        <v>79</v>
      </c>
      <c r="B14" s="38"/>
      <c r="C14" s="29">
        <v>519</v>
      </c>
      <c r="D14" s="27"/>
      <c r="E14" s="29">
        <v>93</v>
      </c>
      <c r="F14" s="26">
        <v>393</v>
      </c>
      <c r="G14" s="26">
        <v>19</v>
      </c>
      <c r="H14" s="26">
        <v>61</v>
      </c>
      <c r="I14" s="26">
        <v>566</v>
      </c>
      <c r="J14" s="28"/>
      <c r="K14" s="29">
        <v>6</v>
      </c>
      <c r="L14" s="26">
        <v>-245</v>
      </c>
      <c r="M14" s="26">
        <v>50</v>
      </c>
      <c r="N14" s="26">
        <v>515</v>
      </c>
      <c r="O14" s="26">
        <v>326</v>
      </c>
      <c r="Q14" s="29">
        <v>-497</v>
      </c>
      <c r="R14" s="26">
        <v>-40</v>
      </c>
      <c r="S14" s="26">
        <v>-609</v>
      </c>
      <c r="T14" s="26">
        <v>150</v>
      </c>
      <c r="U14" s="26">
        <v>-996</v>
      </c>
      <c r="V14" s="39">
        <v>-902</v>
      </c>
    </row>
    <row r="15" spans="1:22" ht="12" customHeight="1">
      <c r="A15" s="40" t="s">
        <v>80</v>
      </c>
      <c r="B15" s="41"/>
      <c r="C15" s="21">
        <f>C3+C12+C13+C14</f>
        <v>4849</v>
      </c>
      <c r="D15" s="19"/>
      <c r="E15" s="21">
        <f>E3+E12+E13+E14</f>
        <v>1208</v>
      </c>
      <c r="F15" s="18">
        <f>F3+F12+F13+F14</f>
        <v>1221</v>
      </c>
      <c r="G15" s="18">
        <f>G3+G12+G13+G14</f>
        <v>964</v>
      </c>
      <c r="H15" s="18">
        <f>H3+H12+H13+H14</f>
        <v>770</v>
      </c>
      <c r="I15" s="18">
        <f>I3+I12+I13+I14</f>
        <v>4163</v>
      </c>
      <c r="J15" s="20"/>
      <c r="K15" s="21">
        <f>K3+K12+K13+K14</f>
        <v>584</v>
      </c>
      <c r="L15" s="18">
        <f>L3+L12+L13+L14</f>
        <v>747</v>
      </c>
      <c r="M15" s="18">
        <f>M3+M12+M13+M14</f>
        <v>949</v>
      </c>
      <c r="N15" s="18">
        <f>N3+N12+N13+N14</f>
        <v>1932</v>
      </c>
      <c r="O15" s="18">
        <f>O3+O12+O13+O14</f>
        <v>4212</v>
      </c>
      <c r="Q15" s="21">
        <f aca="true" t="shared" si="1" ref="Q15:V15">Q3+Q12+Q13+Q14</f>
        <v>458</v>
      </c>
      <c r="R15" s="18">
        <f t="shared" si="1"/>
        <v>734</v>
      </c>
      <c r="S15" s="18">
        <f t="shared" si="1"/>
        <v>546</v>
      </c>
      <c r="T15" s="18">
        <f t="shared" si="1"/>
        <v>1316</v>
      </c>
      <c r="U15" s="18">
        <f t="shared" si="1"/>
        <v>3054</v>
      </c>
      <c r="V15" s="3">
        <f t="shared" si="1"/>
        <v>-11</v>
      </c>
    </row>
    <row r="16" spans="1:22" ht="12" customHeight="1">
      <c r="A16" s="42"/>
      <c r="B16" s="17"/>
      <c r="C16" s="44"/>
      <c r="D16" s="19"/>
      <c r="E16" s="44"/>
      <c r="F16" s="43"/>
      <c r="G16" s="43"/>
      <c r="H16" s="43"/>
      <c r="I16" s="43"/>
      <c r="J16" s="20"/>
      <c r="K16" s="44"/>
      <c r="L16" s="43"/>
      <c r="M16" s="43"/>
      <c r="N16" s="43"/>
      <c r="O16" s="43"/>
      <c r="Q16" s="44"/>
      <c r="R16" s="43"/>
      <c r="S16" s="43"/>
      <c r="T16" s="43"/>
      <c r="U16" s="43"/>
      <c r="V16" s="45"/>
    </row>
    <row r="17" spans="1:22" ht="12" customHeight="1">
      <c r="A17" s="46" t="s">
        <v>81</v>
      </c>
      <c r="B17" s="25"/>
      <c r="C17" s="48">
        <v>-3112</v>
      </c>
      <c r="D17" s="27"/>
      <c r="E17" s="48">
        <v>-801</v>
      </c>
      <c r="F17" s="47">
        <v>-803</v>
      </c>
      <c r="G17" s="47">
        <v>-897</v>
      </c>
      <c r="H17" s="47">
        <v>-1052</v>
      </c>
      <c r="I17" s="47">
        <v>-3553</v>
      </c>
      <c r="J17" s="28"/>
      <c r="K17" s="48">
        <v>-878</v>
      </c>
      <c r="L17" s="47">
        <v>-802</v>
      </c>
      <c r="M17" s="47">
        <v>-640</v>
      </c>
      <c r="N17" s="47">
        <v>-712</v>
      </c>
      <c r="O17" s="47">
        <v>-3032</v>
      </c>
      <c r="Q17" s="48">
        <v>-562</v>
      </c>
      <c r="R17" s="47">
        <v>-549</v>
      </c>
      <c r="S17" s="47">
        <v>-532</v>
      </c>
      <c r="T17" s="47">
        <v>-884</v>
      </c>
      <c r="U17" s="47">
        <v>-2527</v>
      </c>
      <c r="V17" s="34">
        <v>-601</v>
      </c>
    </row>
    <row r="18" spans="1:22" ht="12" customHeight="1">
      <c r="A18" s="24" t="s">
        <v>82</v>
      </c>
      <c r="B18" s="25"/>
      <c r="C18" s="29">
        <v>-322</v>
      </c>
      <c r="D18" s="27"/>
      <c r="E18" s="29">
        <v>-89</v>
      </c>
      <c r="F18" s="26">
        <v>-54</v>
      </c>
      <c r="G18" s="26">
        <v>-77</v>
      </c>
      <c r="H18" s="26">
        <v>-166</v>
      </c>
      <c r="I18" s="26">
        <v>-386</v>
      </c>
      <c r="J18" s="28"/>
      <c r="K18" s="29">
        <v>-92</v>
      </c>
      <c r="L18" s="26">
        <v>-14</v>
      </c>
      <c r="M18" s="26">
        <v>-57</v>
      </c>
      <c r="N18" s="26">
        <v>-56</v>
      </c>
      <c r="O18" s="26">
        <v>-219</v>
      </c>
      <c r="Q18" s="29">
        <v>-53</v>
      </c>
      <c r="R18" s="26">
        <v>-44</v>
      </c>
      <c r="S18" s="26">
        <v>-64</v>
      </c>
      <c r="T18" s="26">
        <v>-108</v>
      </c>
      <c r="U18" s="26">
        <v>-269</v>
      </c>
      <c r="V18" s="7">
        <v>-74</v>
      </c>
    </row>
    <row r="19" spans="1:22" ht="12" customHeight="1">
      <c r="A19" s="24" t="s">
        <v>83</v>
      </c>
      <c r="B19" s="25"/>
      <c r="C19" s="29">
        <v>-1628</v>
      </c>
      <c r="D19" s="27"/>
      <c r="E19" s="29">
        <v>0</v>
      </c>
      <c r="F19" s="26">
        <v>0</v>
      </c>
      <c r="G19" s="26">
        <v>0</v>
      </c>
      <c r="H19" s="26">
        <v>0</v>
      </c>
      <c r="I19" s="26">
        <v>0</v>
      </c>
      <c r="J19" s="28"/>
      <c r="K19" s="29">
        <v>0</v>
      </c>
      <c r="L19" s="26">
        <v>0</v>
      </c>
      <c r="M19" s="26">
        <v>0</v>
      </c>
      <c r="N19" s="26">
        <v>0</v>
      </c>
      <c r="O19" s="26">
        <v>0</v>
      </c>
      <c r="Q19" s="29">
        <v>0</v>
      </c>
      <c r="R19" s="26">
        <v>0</v>
      </c>
      <c r="S19" s="26">
        <v>0</v>
      </c>
      <c r="T19" s="26">
        <v>0</v>
      </c>
      <c r="U19" s="26">
        <v>0</v>
      </c>
      <c r="V19" s="7">
        <v>0</v>
      </c>
    </row>
    <row r="20" spans="1:22" ht="12" customHeight="1">
      <c r="A20" s="24" t="s">
        <v>84</v>
      </c>
      <c r="B20" s="25"/>
      <c r="C20" s="29">
        <v>-502</v>
      </c>
      <c r="D20" s="27"/>
      <c r="E20" s="29">
        <v>-206</v>
      </c>
      <c r="F20" s="26">
        <v>-163</v>
      </c>
      <c r="G20" s="26">
        <v>-239</v>
      </c>
      <c r="H20" s="26">
        <v>-320</v>
      </c>
      <c r="I20" s="26">
        <v>-928</v>
      </c>
      <c r="J20" s="28"/>
      <c r="K20" s="29">
        <v>-173</v>
      </c>
      <c r="L20" s="26">
        <v>-65</v>
      </c>
      <c r="M20" s="26">
        <v>-97</v>
      </c>
      <c r="N20" s="26">
        <v>-336</v>
      </c>
      <c r="O20" s="26">
        <v>-671</v>
      </c>
      <c r="Q20" s="29">
        <v>0</v>
      </c>
      <c r="R20" s="26">
        <v>-206</v>
      </c>
      <c r="S20" s="26">
        <v>0</v>
      </c>
      <c r="T20" s="26">
        <v>-255</v>
      </c>
      <c r="U20" s="26">
        <v>-461</v>
      </c>
      <c r="V20" s="39">
        <v>0</v>
      </c>
    </row>
    <row r="21" spans="1:22" ht="12" customHeight="1">
      <c r="A21" s="24" t="s">
        <v>85</v>
      </c>
      <c r="B21" s="25"/>
      <c r="C21" s="29">
        <v>20</v>
      </c>
      <c r="D21" s="18">
        <v>-61</v>
      </c>
      <c r="E21" s="29">
        <v>-15</v>
      </c>
      <c r="F21" s="26">
        <v>-43</v>
      </c>
      <c r="G21" s="26">
        <v>10</v>
      </c>
      <c r="H21" s="26">
        <v>9</v>
      </c>
      <c r="I21" s="26">
        <v>-39</v>
      </c>
      <c r="J21" s="28"/>
      <c r="K21" s="29">
        <v>-35</v>
      </c>
      <c r="L21" s="26">
        <v>8</v>
      </c>
      <c r="M21" s="26">
        <v>-13</v>
      </c>
      <c r="N21" s="26">
        <v>14</v>
      </c>
      <c r="O21" s="26">
        <v>-26</v>
      </c>
      <c r="Q21" s="29">
        <v>-35</v>
      </c>
      <c r="R21" s="26">
        <v>2</v>
      </c>
      <c r="S21" s="26">
        <v>-33</v>
      </c>
      <c r="T21" s="26">
        <v>-17</v>
      </c>
      <c r="U21" s="26">
        <f>-123+40</f>
        <v>-83</v>
      </c>
      <c r="V21" s="7">
        <v>-3</v>
      </c>
    </row>
    <row r="22" spans="1:22" ht="12" customHeight="1">
      <c r="A22" s="40" t="s">
        <v>86</v>
      </c>
      <c r="B22" s="41"/>
      <c r="C22" s="21">
        <f>SUM(C17:C21)</f>
        <v>-5544</v>
      </c>
      <c r="D22" s="19"/>
      <c r="E22" s="21">
        <f>SUM(E17:E21)</f>
        <v>-1111</v>
      </c>
      <c r="F22" s="18">
        <f>SUM(F17:F21)</f>
        <v>-1063</v>
      </c>
      <c r="G22" s="18">
        <f>SUM(G17:G21)</f>
        <v>-1203</v>
      </c>
      <c r="H22" s="18">
        <f>SUM(H17:H21)</f>
        <v>-1529</v>
      </c>
      <c r="I22" s="18">
        <f>SUM(I17:I21)</f>
        <v>-4906</v>
      </c>
      <c r="J22" s="20"/>
      <c r="K22" s="21">
        <f>SUM(K17:K21)</f>
        <v>-1178</v>
      </c>
      <c r="L22" s="18">
        <f>SUM(L17:L21)</f>
        <v>-873</v>
      </c>
      <c r="M22" s="18">
        <f>SUM(M17:M21)</f>
        <v>-807</v>
      </c>
      <c r="N22" s="18">
        <f>SUM(N17:N21)</f>
        <v>-1090</v>
      </c>
      <c r="O22" s="18">
        <f>SUM(O17:O21)</f>
        <v>-3948</v>
      </c>
      <c r="Q22" s="21">
        <f aca="true" t="shared" si="2" ref="Q22:V22">SUM(Q17:Q21)</f>
        <v>-650</v>
      </c>
      <c r="R22" s="18">
        <f t="shared" si="2"/>
        <v>-797</v>
      </c>
      <c r="S22" s="18">
        <f t="shared" si="2"/>
        <v>-629</v>
      </c>
      <c r="T22" s="18">
        <f t="shared" si="2"/>
        <v>-1264</v>
      </c>
      <c r="U22" s="18">
        <f t="shared" si="2"/>
        <v>-3340</v>
      </c>
      <c r="V22" s="3">
        <f t="shared" si="2"/>
        <v>-678</v>
      </c>
    </row>
    <row r="23" spans="1:22" ht="12" customHeight="1">
      <c r="A23" s="42"/>
      <c r="B23" s="17"/>
      <c r="C23" s="44"/>
      <c r="D23" s="19"/>
      <c r="E23" s="44"/>
      <c r="F23" s="43"/>
      <c r="G23" s="43"/>
      <c r="H23" s="43"/>
      <c r="I23" s="43"/>
      <c r="J23" s="20"/>
      <c r="K23" s="44"/>
      <c r="L23" s="43"/>
      <c r="M23" s="43"/>
      <c r="N23" s="43"/>
      <c r="O23" s="43"/>
      <c r="Q23" s="44"/>
      <c r="R23" s="43"/>
      <c r="S23" s="43"/>
      <c r="T23" s="43"/>
      <c r="U23" s="43"/>
      <c r="V23" s="45"/>
    </row>
    <row r="24" spans="1:22" ht="12" customHeight="1">
      <c r="A24" s="46" t="s">
        <v>87</v>
      </c>
      <c r="B24" s="25"/>
      <c r="C24" s="48">
        <v>2641</v>
      </c>
      <c r="D24" s="27"/>
      <c r="E24" s="48">
        <v>1147</v>
      </c>
      <c r="F24" s="47">
        <v>2264</v>
      </c>
      <c r="G24" s="47">
        <v>670</v>
      </c>
      <c r="H24" s="47">
        <v>907</v>
      </c>
      <c r="I24" s="47">
        <v>4988</v>
      </c>
      <c r="J24" s="28"/>
      <c r="K24" s="48">
        <v>1048</v>
      </c>
      <c r="L24" s="47">
        <v>932</v>
      </c>
      <c r="M24" s="47">
        <v>916</v>
      </c>
      <c r="N24" s="47">
        <v>370</v>
      </c>
      <c r="O24" s="47">
        <v>3266</v>
      </c>
      <c r="Q24" s="48">
        <v>762</v>
      </c>
      <c r="R24" s="47">
        <v>685</v>
      </c>
      <c r="S24" s="47">
        <v>198</v>
      </c>
      <c r="T24" s="47">
        <v>797</v>
      </c>
      <c r="U24" s="47">
        <v>2442</v>
      </c>
      <c r="V24" s="34">
        <v>1131</v>
      </c>
    </row>
    <row r="25" spans="1:22" ht="12" customHeight="1">
      <c r="A25" s="24" t="s">
        <v>88</v>
      </c>
      <c r="B25" s="25"/>
      <c r="C25" s="29">
        <v>-1240</v>
      </c>
      <c r="D25" s="27"/>
      <c r="E25" s="29">
        <v>-760</v>
      </c>
      <c r="F25" s="26">
        <v>-1876</v>
      </c>
      <c r="G25" s="26">
        <v>-254</v>
      </c>
      <c r="H25" s="26">
        <v>-206</v>
      </c>
      <c r="I25" s="26">
        <v>-3096</v>
      </c>
      <c r="J25" s="28"/>
      <c r="K25" s="29">
        <v>-335</v>
      </c>
      <c r="L25" s="26">
        <v>-661</v>
      </c>
      <c r="M25" s="26">
        <v>-825</v>
      </c>
      <c r="N25" s="26">
        <v>-880</v>
      </c>
      <c r="O25" s="26">
        <v>-2701</v>
      </c>
      <c r="Q25" s="29">
        <v>-746</v>
      </c>
      <c r="R25" s="26">
        <v>-786</v>
      </c>
      <c r="S25" s="26">
        <v>-6</v>
      </c>
      <c r="T25" s="26">
        <v>-534</v>
      </c>
      <c r="U25" s="26">
        <v>-2072</v>
      </c>
      <c r="V25" s="7">
        <v>-492</v>
      </c>
    </row>
    <row r="26" spans="1:22" ht="12" customHeight="1">
      <c r="A26" s="24" t="s">
        <v>89</v>
      </c>
      <c r="B26" s="25"/>
      <c r="C26" s="29">
        <v>-1000</v>
      </c>
      <c r="D26" s="27"/>
      <c r="E26" s="29">
        <v>0</v>
      </c>
      <c r="F26" s="26">
        <v>-400</v>
      </c>
      <c r="G26" s="26">
        <v>0</v>
      </c>
      <c r="H26" s="26">
        <v>-400</v>
      </c>
      <c r="I26" s="26">
        <v>-800</v>
      </c>
      <c r="J26" s="28"/>
      <c r="K26" s="29">
        <v>0</v>
      </c>
      <c r="L26" s="26">
        <v>0</v>
      </c>
      <c r="M26" s="26">
        <v>-150</v>
      </c>
      <c r="N26" s="26">
        <v>-150</v>
      </c>
      <c r="O26" s="26">
        <v>-300</v>
      </c>
      <c r="Q26" s="29">
        <v>0</v>
      </c>
      <c r="R26" s="26">
        <v>0</v>
      </c>
      <c r="S26" s="26">
        <v>-100</v>
      </c>
      <c r="T26" s="26">
        <v>-100</v>
      </c>
      <c r="U26" s="26">
        <v>-200</v>
      </c>
      <c r="V26" s="7">
        <v>0</v>
      </c>
    </row>
    <row r="27" spans="1:22" ht="12" customHeight="1">
      <c r="A27" s="24" t="s">
        <v>90</v>
      </c>
      <c r="B27" s="25"/>
      <c r="C27" s="29">
        <v>-136</v>
      </c>
      <c r="D27" s="27"/>
      <c r="E27" s="29">
        <v>-17</v>
      </c>
      <c r="F27" s="26">
        <v>-162</v>
      </c>
      <c r="G27" s="26">
        <v>-29</v>
      </c>
      <c r="H27" s="26">
        <v>-24</v>
      </c>
      <c r="I27" s="26">
        <v>-232</v>
      </c>
      <c r="J27" s="28"/>
      <c r="K27" s="29">
        <v>-28</v>
      </c>
      <c r="L27" s="26">
        <v>-27</v>
      </c>
      <c r="M27" s="26">
        <v>-43</v>
      </c>
      <c r="N27" s="26">
        <v>-46</v>
      </c>
      <c r="O27" s="26">
        <v>-144</v>
      </c>
      <c r="Q27" s="29">
        <v>-42</v>
      </c>
      <c r="R27" s="26">
        <v>-39</v>
      </c>
      <c r="S27" s="26">
        <v>-37</v>
      </c>
      <c r="T27" s="26">
        <v>-39</v>
      </c>
      <c r="U27" s="26">
        <v>-157</v>
      </c>
      <c r="V27" s="7">
        <v>-32</v>
      </c>
    </row>
    <row r="28" spans="1:22" ht="12" customHeight="1">
      <c r="A28" s="24" t="s">
        <v>91</v>
      </c>
      <c r="B28" s="25"/>
      <c r="C28" s="29">
        <v>-17</v>
      </c>
      <c r="D28" s="27"/>
      <c r="E28" s="29">
        <v>7</v>
      </c>
      <c r="F28" s="26">
        <v>3</v>
      </c>
      <c r="G28" s="26">
        <v>4</v>
      </c>
      <c r="H28" s="26">
        <v>-10</v>
      </c>
      <c r="I28" s="26">
        <v>4</v>
      </c>
      <c r="J28" s="28"/>
      <c r="K28" s="29">
        <v>-3</v>
      </c>
      <c r="L28" s="26">
        <v>12</v>
      </c>
      <c r="M28" s="26">
        <v>0</v>
      </c>
      <c r="N28" s="26">
        <v>3</v>
      </c>
      <c r="O28" s="26">
        <v>12</v>
      </c>
      <c r="Q28" s="29">
        <v>0</v>
      </c>
      <c r="R28" s="26">
        <v>2</v>
      </c>
      <c r="S28" s="26">
        <v>1</v>
      </c>
      <c r="T28" s="26">
        <v>2</v>
      </c>
      <c r="U28" s="26">
        <f>6-1</f>
        <v>5</v>
      </c>
      <c r="V28" s="34">
        <v>1</v>
      </c>
    </row>
    <row r="29" spans="1:22" ht="12" customHeight="1">
      <c r="A29" s="40" t="s">
        <v>92</v>
      </c>
      <c r="B29" s="41"/>
      <c r="C29" s="21">
        <f aca="true" t="shared" si="3" ref="C29:I29">SUM(C24:C28)</f>
        <v>248</v>
      </c>
      <c r="D29" s="27">
        <f t="shared" si="3"/>
        <v>0</v>
      </c>
      <c r="E29" s="21">
        <f t="shared" si="3"/>
        <v>377</v>
      </c>
      <c r="F29" s="18">
        <f t="shared" si="3"/>
        <v>-171</v>
      </c>
      <c r="G29" s="18">
        <f t="shared" si="3"/>
        <v>391</v>
      </c>
      <c r="H29" s="18">
        <f t="shared" si="3"/>
        <v>267</v>
      </c>
      <c r="I29" s="18">
        <f t="shared" si="3"/>
        <v>864</v>
      </c>
      <c r="J29" s="20"/>
      <c r="K29" s="21">
        <f>SUM(K24:K28)</f>
        <v>682</v>
      </c>
      <c r="L29" s="18">
        <f>SUM(L24:L28)</f>
        <v>256</v>
      </c>
      <c r="M29" s="18">
        <f>SUM(M24:M28)</f>
        <v>-102</v>
      </c>
      <c r="N29" s="18">
        <f>SUM(N24:N28)</f>
        <v>-703</v>
      </c>
      <c r="O29" s="18">
        <f>SUM(O24:O28)</f>
        <v>133</v>
      </c>
      <c r="Q29" s="21">
        <f>SUM(Q24:Q28)</f>
        <v>-26</v>
      </c>
      <c r="R29" s="18">
        <f>SUM(R24:R28)</f>
        <v>-138</v>
      </c>
      <c r="S29" s="18">
        <f>SUM(S23:S28)</f>
        <v>56</v>
      </c>
      <c r="T29" s="18">
        <f>SUM(T23:T28)</f>
        <v>126</v>
      </c>
      <c r="U29" s="18">
        <f>SUM(U24:U28)</f>
        <v>18</v>
      </c>
      <c r="V29" s="3">
        <f>SUM(V24:V28)</f>
        <v>608</v>
      </c>
    </row>
    <row r="30" spans="1:22" ht="12" customHeight="1">
      <c r="A30" s="49"/>
      <c r="B30" s="41"/>
      <c r="C30" s="44"/>
      <c r="D30" s="19"/>
      <c r="E30" s="44"/>
      <c r="F30" s="43"/>
      <c r="G30" s="43"/>
      <c r="H30" s="43"/>
      <c r="I30" s="43"/>
      <c r="J30" s="20"/>
      <c r="K30" s="44"/>
      <c r="L30" s="43"/>
      <c r="M30" s="43"/>
      <c r="N30" s="43"/>
      <c r="O30" s="43"/>
      <c r="Q30" s="44"/>
      <c r="R30" s="43"/>
      <c r="S30" s="43"/>
      <c r="T30" s="43"/>
      <c r="U30" s="43"/>
      <c r="V30" s="45"/>
    </row>
    <row r="31" spans="1:22" ht="12" customHeight="1">
      <c r="A31" s="50" t="s">
        <v>93</v>
      </c>
      <c r="B31" s="41"/>
      <c r="C31" s="52">
        <f>C15+C22+C29</f>
        <v>-447</v>
      </c>
      <c r="D31" s="19"/>
      <c r="E31" s="52">
        <f>E15+E22+E29</f>
        <v>474</v>
      </c>
      <c r="F31" s="51">
        <f>F15+F22+F29</f>
        <v>-13</v>
      </c>
      <c r="G31" s="51">
        <f>G15+G22+G29</f>
        <v>152</v>
      </c>
      <c r="H31" s="51">
        <f>H15+H22+H29</f>
        <v>-492</v>
      </c>
      <c r="I31" s="51">
        <f>I15+I22+I29</f>
        <v>121</v>
      </c>
      <c r="J31" s="20"/>
      <c r="K31" s="52">
        <f>K15+K22+K29</f>
        <v>88</v>
      </c>
      <c r="L31" s="51">
        <f>L15+L22+L29</f>
        <v>130</v>
      </c>
      <c r="M31" s="51">
        <f>M15+M22+M29</f>
        <v>40</v>
      </c>
      <c r="N31" s="51">
        <f>N15+N22+N29</f>
        <v>139</v>
      </c>
      <c r="O31" s="51">
        <f>O15+O22+O29</f>
        <v>397</v>
      </c>
      <c r="Q31" s="52">
        <f>Q15+Q22+Q29</f>
        <v>-218</v>
      </c>
      <c r="R31" s="51">
        <f>R15+R22+R29</f>
        <v>-201</v>
      </c>
      <c r="S31" s="51">
        <f>S29+S22+S15</f>
        <v>-27</v>
      </c>
      <c r="T31" s="51">
        <f>T29+T22+T15</f>
        <v>178</v>
      </c>
      <c r="U31" s="51">
        <f>U15+U22+U29</f>
        <v>-268</v>
      </c>
      <c r="V31" s="22">
        <f>V15+V22+V29</f>
        <v>-81</v>
      </c>
    </row>
    <row r="32" spans="1:22" ht="12" customHeight="1">
      <c r="A32" s="37" t="s">
        <v>95</v>
      </c>
      <c r="B32" s="38"/>
      <c r="C32" s="29">
        <v>58</v>
      </c>
      <c r="D32" s="27"/>
      <c r="E32" s="29">
        <v>-73</v>
      </c>
      <c r="F32" s="26">
        <v>-83</v>
      </c>
      <c r="G32" s="26">
        <v>9</v>
      </c>
      <c r="H32" s="26">
        <v>12</v>
      </c>
      <c r="I32" s="26">
        <v>-135</v>
      </c>
      <c r="J32" s="28"/>
      <c r="K32" s="29">
        <v>40</v>
      </c>
      <c r="L32" s="26">
        <v>-21</v>
      </c>
      <c r="M32" s="26">
        <v>-7</v>
      </c>
      <c r="N32" s="26">
        <v>-10</v>
      </c>
      <c r="O32" s="26">
        <v>2</v>
      </c>
      <c r="Q32" s="29">
        <v>-18</v>
      </c>
      <c r="R32" s="26">
        <v>23</v>
      </c>
      <c r="S32" s="26">
        <v>-12</v>
      </c>
      <c r="T32" s="26">
        <v>1</v>
      </c>
      <c r="U32" s="26">
        <v>-6</v>
      </c>
      <c r="V32" s="39">
        <v>18</v>
      </c>
    </row>
    <row r="33" spans="1:22" ht="12" customHeight="1">
      <c r="A33" s="37" t="s">
        <v>94</v>
      </c>
      <c r="B33" s="38"/>
      <c r="C33" s="21">
        <v>864</v>
      </c>
      <c r="D33" s="19"/>
      <c r="E33" s="21">
        <v>475</v>
      </c>
      <c r="F33" s="18">
        <v>876</v>
      </c>
      <c r="G33" s="18">
        <v>780</v>
      </c>
      <c r="H33" s="18">
        <v>941</v>
      </c>
      <c r="I33" s="18">
        <v>475</v>
      </c>
      <c r="J33" s="20"/>
      <c r="K33" s="21">
        <v>461</v>
      </c>
      <c r="L33" s="18">
        <v>589</v>
      </c>
      <c r="M33" s="18">
        <v>698</v>
      </c>
      <c r="N33" s="18">
        <v>731</v>
      </c>
      <c r="O33" s="18">
        <v>461</v>
      </c>
      <c r="Q33" s="21">
        <v>860</v>
      </c>
      <c r="R33" s="18">
        <v>624</v>
      </c>
      <c r="S33" s="18">
        <v>446</v>
      </c>
      <c r="T33" s="18">
        <v>407</v>
      </c>
      <c r="U33" s="18">
        <v>860</v>
      </c>
      <c r="V33" s="7">
        <v>586</v>
      </c>
    </row>
    <row r="34" spans="1:22" ht="12" customHeight="1">
      <c r="A34" s="40" t="s">
        <v>96</v>
      </c>
      <c r="B34" s="41"/>
      <c r="C34" s="21">
        <v>475</v>
      </c>
      <c r="D34" s="19"/>
      <c r="E34" s="21">
        <v>876</v>
      </c>
      <c r="F34" s="18">
        <v>780</v>
      </c>
      <c r="G34" s="18">
        <v>941</v>
      </c>
      <c r="H34" s="18">
        <v>461</v>
      </c>
      <c r="I34" s="18">
        <v>461</v>
      </c>
      <c r="J34" s="20"/>
      <c r="K34" s="21">
        <v>589</v>
      </c>
      <c r="L34" s="18">
        <v>698</v>
      </c>
      <c r="M34" s="18">
        <v>731</v>
      </c>
      <c r="N34" s="18">
        <v>860</v>
      </c>
      <c r="O34" s="18">
        <v>860</v>
      </c>
      <c r="Q34" s="21">
        <v>624</v>
      </c>
      <c r="R34" s="18">
        <v>446</v>
      </c>
      <c r="S34" s="18">
        <v>407</v>
      </c>
      <c r="T34" s="18">
        <v>586</v>
      </c>
      <c r="U34" s="18">
        <v>586</v>
      </c>
      <c r="V34" s="3">
        <v>523</v>
      </c>
    </row>
    <row r="35" spans="1:22" ht="12.75">
      <c r="A35" s="53"/>
      <c r="B35" s="54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Q35" s="197"/>
      <c r="R35" s="55"/>
      <c r="S35" s="197"/>
      <c r="T35" s="197"/>
      <c r="U35" s="55"/>
      <c r="V35" s="197"/>
    </row>
    <row r="36" spans="1:22" ht="12.75">
      <c r="A36" s="50" t="s">
        <v>97</v>
      </c>
      <c r="B36" s="54"/>
      <c r="C36" s="57"/>
      <c r="D36" s="57"/>
      <c r="E36" s="57"/>
      <c r="F36" s="57"/>
      <c r="G36" s="57"/>
      <c r="H36" s="57"/>
      <c r="I36" s="56"/>
      <c r="J36" s="57"/>
      <c r="K36" s="57"/>
      <c r="L36" s="57"/>
      <c r="M36" s="57"/>
      <c r="N36" s="57"/>
      <c r="O36" s="56"/>
      <c r="Q36" s="198"/>
      <c r="R36" s="57"/>
      <c r="S36" s="57"/>
      <c r="T36" s="57"/>
      <c r="U36" s="56"/>
      <c r="V36" s="56"/>
    </row>
    <row r="37" spans="1:22" ht="12.75">
      <c r="A37" s="58" t="s">
        <v>98</v>
      </c>
      <c r="B37" s="54"/>
      <c r="C37" s="29">
        <v>2203</v>
      </c>
      <c r="D37" s="19"/>
      <c r="E37" s="29">
        <v>659</v>
      </c>
      <c r="F37" s="26">
        <v>487</v>
      </c>
      <c r="G37" s="26">
        <v>596</v>
      </c>
      <c r="H37" s="26">
        <v>739</v>
      </c>
      <c r="I37" s="18">
        <v>2481</v>
      </c>
      <c r="J37" s="28"/>
      <c r="K37" s="29">
        <v>820</v>
      </c>
      <c r="L37" s="26">
        <v>611</v>
      </c>
      <c r="M37" s="26">
        <v>576</v>
      </c>
      <c r="N37" s="26">
        <v>597</v>
      </c>
      <c r="O37" s="18">
        <v>2604</v>
      </c>
      <c r="Q37" s="29">
        <v>611</v>
      </c>
      <c r="R37" s="26">
        <v>372</v>
      </c>
      <c r="S37" s="26">
        <v>377</v>
      </c>
      <c r="T37" s="26">
        <v>631</v>
      </c>
      <c r="U37" s="18">
        <v>1991</v>
      </c>
      <c r="V37" s="22">
        <v>571</v>
      </c>
    </row>
    <row r="38" spans="1:22" ht="12.75">
      <c r="A38" s="58" t="s">
        <v>99</v>
      </c>
      <c r="B38" s="54"/>
      <c r="C38" s="29">
        <v>924</v>
      </c>
      <c r="D38" s="19"/>
      <c r="E38" s="29">
        <v>217</v>
      </c>
      <c r="F38" s="26">
        <v>219</v>
      </c>
      <c r="G38" s="26">
        <v>253</v>
      </c>
      <c r="H38" s="26">
        <v>412</v>
      </c>
      <c r="I38" s="18">
        <v>1101</v>
      </c>
      <c r="J38" s="28"/>
      <c r="K38" s="29">
        <v>176</v>
      </c>
      <c r="L38" s="26">
        <v>127</v>
      </c>
      <c r="M38" s="26">
        <v>67</v>
      </c>
      <c r="N38" s="26">
        <v>60</v>
      </c>
      <c r="O38" s="18">
        <v>430</v>
      </c>
      <c r="Q38" s="29">
        <v>83</v>
      </c>
      <c r="R38" s="26">
        <v>150</v>
      </c>
      <c r="S38" s="26">
        <v>135</v>
      </c>
      <c r="T38" s="26">
        <v>181</v>
      </c>
      <c r="U38" s="18">
        <v>549</v>
      </c>
      <c r="V38" s="22">
        <v>133</v>
      </c>
    </row>
    <row r="39" spans="1:22" ht="12.75">
      <c r="A39" s="58" t="s">
        <v>100</v>
      </c>
      <c r="C39" s="29">
        <v>2745</v>
      </c>
      <c r="D39" s="27"/>
      <c r="E39" s="29">
        <v>443</v>
      </c>
      <c r="F39" s="26">
        <v>190</v>
      </c>
      <c r="G39" s="26">
        <v>256</v>
      </c>
      <c r="H39" s="26">
        <v>230</v>
      </c>
      <c r="I39" s="18">
        <v>1119</v>
      </c>
      <c r="J39" s="28"/>
      <c r="K39" s="29">
        <v>246</v>
      </c>
      <c r="L39" s="26">
        <v>105</v>
      </c>
      <c r="M39" s="26">
        <v>106</v>
      </c>
      <c r="N39" s="26">
        <v>129</v>
      </c>
      <c r="O39" s="18">
        <v>586</v>
      </c>
      <c r="Q39" s="29">
        <v>147</v>
      </c>
      <c r="R39" s="26">
        <v>135</v>
      </c>
      <c r="S39" s="26">
        <v>100</v>
      </c>
      <c r="T39" s="26">
        <v>182</v>
      </c>
      <c r="U39" s="18">
        <v>564</v>
      </c>
      <c r="V39" s="22">
        <v>139</v>
      </c>
    </row>
    <row r="40" spans="3:22" ht="12.75">
      <c r="C40" s="43"/>
      <c r="D40" s="19"/>
      <c r="E40" s="43"/>
      <c r="F40" s="43"/>
      <c r="G40" s="43"/>
      <c r="H40" s="43"/>
      <c r="I40" s="43"/>
      <c r="J40" s="19"/>
      <c r="K40" s="43"/>
      <c r="L40" s="43"/>
      <c r="M40" s="43"/>
      <c r="N40" s="43"/>
      <c r="O40" s="43"/>
      <c r="Q40" s="43"/>
      <c r="R40" s="43"/>
      <c r="S40" s="43"/>
      <c r="T40" s="43"/>
      <c r="U40" s="43"/>
      <c r="V40" s="12"/>
    </row>
    <row r="41" ht="14.25">
      <c r="V41" s="53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87" customWidth="1"/>
    <col min="2" max="2" width="44.140625" style="60" customWidth="1"/>
    <col min="3" max="3" width="0.85546875" style="4" customWidth="1"/>
    <col min="4" max="4" width="11.7109375" style="61" customWidth="1"/>
    <col min="5" max="5" width="0.9921875" style="62" customWidth="1"/>
    <col min="6" max="6" width="11.7109375" style="61" customWidth="1"/>
    <col min="7" max="7" width="0.9921875" style="62" customWidth="1"/>
    <col min="8" max="11" width="11.7109375" style="61" customWidth="1"/>
    <col min="12" max="12" width="0.9921875" style="62" customWidth="1"/>
    <col min="13" max="17" width="11.7109375" style="2" customWidth="1"/>
    <col min="18" max="114" width="8.8515625" style="2" customWidth="1"/>
    <col min="115" max="16384" width="8.8515625" style="1" customWidth="1"/>
  </cols>
  <sheetData>
    <row r="1" ht="15" thickBot="1">
      <c r="A1" s="6" t="s">
        <v>101</v>
      </c>
    </row>
    <row r="2" spans="1:256" ht="12" thickBot="1">
      <c r="A2" s="567"/>
      <c r="B2" s="567"/>
      <c r="C2" s="528"/>
      <c r="D2" s="63">
        <v>2014</v>
      </c>
      <c r="E2" s="64"/>
      <c r="F2" s="64">
        <v>2015</v>
      </c>
      <c r="G2" s="64"/>
      <c r="H2" s="64" t="s">
        <v>13</v>
      </c>
      <c r="I2" s="64" t="s">
        <v>14</v>
      </c>
      <c r="J2" s="64" t="s">
        <v>15</v>
      </c>
      <c r="K2" s="64">
        <v>2016</v>
      </c>
      <c r="L2" s="64"/>
      <c r="M2" s="64" t="s">
        <v>63</v>
      </c>
      <c r="N2" s="64" t="s">
        <v>64</v>
      </c>
      <c r="O2" s="64" t="s">
        <v>68</v>
      </c>
      <c r="P2" s="64">
        <v>2017</v>
      </c>
      <c r="Q2" s="64" t="s">
        <v>224</v>
      </c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  <c r="IR2" s="65"/>
      <c r="IS2" s="65"/>
      <c r="IT2" s="65"/>
      <c r="IU2" s="65"/>
      <c r="IV2" s="65"/>
    </row>
    <row r="3" spans="1:256" ht="12" thickBot="1">
      <c r="A3" s="66" t="s">
        <v>102</v>
      </c>
      <c r="B3" s="527"/>
      <c r="C3" s="528"/>
      <c r="D3" s="69"/>
      <c r="E3" s="67"/>
      <c r="F3" s="69"/>
      <c r="G3" s="67"/>
      <c r="H3" s="69"/>
      <c r="I3" s="68"/>
      <c r="J3" s="68"/>
      <c r="K3" s="70"/>
      <c r="L3" s="71"/>
      <c r="M3" s="69"/>
      <c r="N3" s="70"/>
      <c r="O3" s="70"/>
      <c r="P3" s="70"/>
      <c r="Q3" s="537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  <c r="IR3" s="65"/>
      <c r="IS3" s="65"/>
      <c r="IT3" s="65"/>
      <c r="IU3" s="65"/>
      <c r="IV3" s="65"/>
    </row>
    <row r="4" spans="1:17" ht="11.25">
      <c r="A4" s="73" t="s">
        <v>103</v>
      </c>
      <c r="B4" s="74"/>
      <c r="D4" s="72">
        <v>14876</v>
      </c>
      <c r="E4" s="71"/>
      <c r="F4" s="72">
        <v>14273</v>
      </c>
      <c r="G4" s="71"/>
      <c r="H4" s="72">
        <v>14421</v>
      </c>
      <c r="I4" s="70">
        <v>14821</v>
      </c>
      <c r="J4" s="70">
        <v>15098</v>
      </c>
      <c r="K4" s="70">
        <v>15217</v>
      </c>
      <c r="L4" s="71"/>
      <c r="M4" s="72">
        <v>15301</v>
      </c>
      <c r="N4" s="70">
        <v>15359</v>
      </c>
      <c r="O4" s="70">
        <v>15571</v>
      </c>
      <c r="P4" s="70">
        <v>16296</v>
      </c>
      <c r="Q4" s="75">
        <v>16305</v>
      </c>
    </row>
    <row r="5" spans="1:17" ht="11.25">
      <c r="A5" s="73" t="s">
        <v>104</v>
      </c>
      <c r="B5" s="74"/>
      <c r="D5" s="72">
        <v>2700</v>
      </c>
      <c r="E5" s="71"/>
      <c r="F5" s="72">
        <v>3130</v>
      </c>
      <c r="G5" s="71"/>
      <c r="H5" s="72">
        <v>3199</v>
      </c>
      <c r="I5" s="70">
        <v>3301</v>
      </c>
      <c r="J5" s="70">
        <v>3298</v>
      </c>
      <c r="K5" s="70">
        <v>2474</v>
      </c>
      <c r="L5" s="71"/>
      <c r="M5" s="72">
        <v>2395</v>
      </c>
      <c r="N5" s="70">
        <v>2309</v>
      </c>
      <c r="O5" s="70">
        <v>2325</v>
      </c>
      <c r="P5" s="70">
        <v>1447</v>
      </c>
      <c r="Q5" s="76">
        <v>1456</v>
      </c>
    </row>
    <row r="6" spans="1:17" ht="11.25">
      <c r="A6" s="568" t="s">
        <v>105</v>
      </c>
      <c r="B6" s="568"/>
      <c r="D6" s="72">
        <v>17576</v>
      </c>
      <c r="E6" s="71"/>
      <c r="F6" s="72">
        <f>F4+F5</f>
        <v>17403</v>
      </c>
      <c r="G6" s="71"/>
      <c r="H6" s="72">
        <f>H4+H5</f>
        <v>17620</v>
      </c>
      <c r="I6" s="70">
        <f>I4+I5</f>
        <v>18122</v>
      </c>
      <c r="J6" s="70">
        <f>J4+J5</f>
        <v>18396</v>
      </c>
      <c r="K6" s="70">
        <f>K4+K5</f>
        <v>17691</v>
      </c>
      <c r="L6" s="71"/>
      <c r="M6" s="72">
        <f>M4+M5</f>
        <v>17696</v>
      </c>
      <c r="N6" s="70">
        <f>N4+N5</f>
        <v>17668</v>
      </c>
      <c r="O6" s="70">
        <v>17896</v>
      </c>
      <c r="P6" s="70">
        <f>SUM(P4:P5)</f>
        <v>17743</v>
      </c>
      <c r="Q6" s="537">
        <f>Q4+Q5</f>
        <v>17761</v>
      </c>
    </row>
    <row r="7" spans="1:17" ht="11.25">
      <c r="A7" s="73" t="s">
        <v>106</v>
      </c>
      <c r="B7" s="74"/>
      <c r="D7" s="72">
        <v>2745</v>
      </c>
      <c r="E7" s="71"/>
      <c r="F7" s="72">
        <v>2653</v>
      </c>
      <c r="G7" s="71"/>
      <c r="H7" s="72">
        <v>2776</v>
      </c>
      <c r="I7" s="70">
        <v>2828</v>
      </c>
      <c r="J7" s="70">
        <v>2707</v>
      </c>
      <c r="K7" s="70">
        <v>2591</v>
      </c>
      <c r="L7" s="71"/>
      <c r="M7" s="72">
        <v>2543</v>
      </c>
      <c r="N7" s="70">
        <v>2599</v>
      </c>
      <c r="O7" s="70">
        <v>2632</v>
      </c>
      <c r="P7" s="70">
        <v>2679</v>
      </c>
      <c r="Q7" s="75">
        <v>2682</v>
      </c>
    </row>
    <row r="8" spans="1:256" ht="11.25">
      <c r="A8" s="77" t="s">
        <v>107</v>
      </c>
      <c r="B8" s="78"/>
      <c r="C8" s="79"/>
      <c r="D8" s="72">
        <v>218</v>
      </c>
      <c r="E8" s="71"/>
      <c r="F8" s="72">
        <v>241</v>
      </c>
      <c r="G8" s="71"/>
      <c r="H8" s="72">
        <v>202</v>
      </c>
      <c r="I8" s="70">
        <v>236</v>
      </c>
      <c r="J8" s="70">
        <v>197</v>
      </c>
      <c r="K8" s="70">
        <v>208</v>
      </c>
      <c r="L8" s="71"/>
      <c r="M8" s="72">
        <v>222</v>
      </c>
      <c r="N8" s="70">
        <v>202</v>
      </c>
      <c r="O8" s="70">
        <v>201</v>
      </c>
      <c r="P8" s="70">
        <v>209</v>
      </c>
      <c r="Q8" s="76">
        <v>221</v>
      </c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  <c r="IU8" s="61"/>
      <c r="IV8" s="61"/>
    </row>
    <row r="9" spans="1:17" ht="11.25">
      <c r="A9" s="569" t="s">
        <v>108</v>
      </c>
      <c r="B9" s="569"/>
      <c r="C9" s="80"/>
      <c r="D9" s="72">
        <v>2963</v>
      </c>
      <c r="E9" s="71"/>
      <c r="F9" s="72">
        <f>F7+F8</f>
        <v>2894</v>
      </c>
      <c r="G9" s="71"/>
      <c r="H9" s="72">
        <f>H7+H8</f>
        <v>2978</v>
      </c>
      <c r="I9" s="70">
        <f>I7+I8</f>
        <v>3064</v>
      </c>
      <c r="J9" s="70">
        <f>J7+J8</f>
        <v>2904</v>
      </c>
      <c r="K9" s="70">
        <f>K7+K8</f>
        <v>2799</v>
      </c>
      <c r="L9" s="71"/>
      <c r="M9" s="72">
        <f>M7+M8</f>
        <v>2765</v>
      </c>
      <c r="N9" s="70">
        <f>N7+N8</f>
        <v>2801</v>
      </c>
      <c r="O9" s="70">
        <v>2833</v>
      </c>
      <c r="P9" s="70">
        <f>SUM(P7:P8)</f>
        <v>2888</v>
      </c>
      <c r="Q9" s="537">
        <f>Q7+Q8</f>
        <v>2903</v>
      </c>
    </row>
    <row r="10" spans="1:17" ht="11.25">
      <c r="A10" s="73" t="s">
        <v>109</v>
      </c>
      <c r="B10" s="74"/>
      <c r="D10" s="72">
        <v>4363</v>
      </c>
      <c r="E10" s="71"/>
      <c r="F10" s="72">
        <v>562</v>
      </c>
      <c r="G10" s="71"/>
      <c r="H10" s="72">
        <v>498</v>
      </c>
      <c r="I10" s="70">
        <v>333</v>
      </c>
      <c r="J10" s="70">
        <v>73</v>
      </c>
      <c r="K10" s="70">
        <v>27</v>
      </c>
      <c r="L10" s="71"/>
      <c r="M10" s="72">
        <v>27</v>
      </c>
      <c r="N10" s="70">
        <v>26</v>
      </c>
      <c r="O10" s="70">
        <v>26</v>
      </c>
      <c r="P10" s="70">
        <v>8</v>
      </c>
      <c r="Q10" s="75">
        <v>8</v>
      </c>
    </row>
    <row r="11" spans="1:17" ht="11.25">
      <c r="A11" s="73" t="s">
        <v>110</v>
      </c>
      <c r="B11" s="74"/>
      <c r="D11" s="72">
        <v>6231</v>
      </c>
      <c r="E11" s="71"/>
      <c r="F11" s="72">
        <v>7504</v>
      </c>
      <c r="G11" s="71"/>
      <c r="H11" s="72">
        <v>7377</v>
      </c>
      <c r="I11" s="70">
        <v>7966</v>
      </c>
      <c r="J11" s="70">
        <v>7874</v>
      </c>
      <c r="K11" s="70">
        <v>4313</v>
      </c>
      <c r="L11" s="71"/>
      <c r="M11" s="72">
        <v>4152</v>
      </c>
      <c r="N11" s="70">
        <v>3978</v>
      </c>
      <c r="O11" s="70">
        <v>3999</v>
      </c>
      <c r="P11" s="70">
        <v>3889</v>
      </c>
      <c r="Q11" s="76">
        <v>3895</v>
      </c>
    </row>
    <row r="12" spans="1:17" ht="11.25">
      <c r="A12" s="568" t="s">
        <v>111</v>
      </c>
      <c r="B12" s="568"/>
      <c r="D12" s="72">
        <v>10594</v>
      </c>
      <c r="E12" s="71"/>
      <c r="F12" s="72">
        <f>F10+F11</f>
        <v>8066</v>
      </c>
      <c r="G12" s="71"/>
      <c r="H12" s="72">
        <f>H10+H11</f>
        <v>7875</v>
      </c>
      <c r="I12" s="70">
        <f>I10+I11</f>
        <v>8299</v>
      </c>
      <c r="J12" s="70">
        <f>J10+J11</f>
        <v>7947</v>
      </c>
      <c r="K12" s="70">
        <f>K11+K10</f>
        <v>4340</v>
      </c>
      <c r="L12" s="71"/>
      <c r="M12" s="72">
        <f>M10+M11</f>
        <v>4179</v>
      </c>
      <c r="N12" s="70">
        <v>4004</v>
      </c>
      <c r="O12" s="70">
        <v>4025</v>
      </c>
      <c r="P12" s="70">
        <f>SUM(P10:P11)</f>
        <v>3897</v>
      </c>
      <c r="Q12" s="537">
        <f>Q10+Q11</f>
        <v>3903</v>
      </c>
    </row>
    <row r="13" spans="1:17" ht="11.25">
      <c r="A13" s="73" t="s">
        <v>112</v>
      </c>
      <c r="B13" s="74"/>
      <c r="D13" s="72">
        <v>214</v>
      </c>
      <c r="E13" s="71"/>
      <c r="F13" s="72">
        <v>117</v>
      </c>
      <c r="G13" s="71"/>
      <c r="H13" s="72">
        <v>133</v>
      </c>
      <c r="I13" s="70">
        <v>67</v>
      </c>
      <c r="J13" s="70">
        <v>58</v>
      </c>
      <c r="K13" s="70">
        <v>237</v>
      </c>
      <c r="L13" s="71"/>
      <c r="M13" s="72">
        <v>162</v>
      </c>
      <c r="N13" s="70">
        <v>137</v>
      </c>
      <c r="O13" s="70">
        <v>183</v>
      </c>
      <c r="P13" s="70">
        <v>110</v>
      </c>
      <c r="Q13" s="75">
        <v>213</v>
      </c>
    </row>
    <row r="14" spans="1:17" ht="11.25">
      <c r="A14" s="73" t="s">
        <v>145</v>
      </c>
      <c r="B14" s="74"/>
      <c r="D14" s="72">
        <v>931</v>
      </c>
      <c r="E14" s="71"/>
      <c r="F14" s="72">
        <v>579</v>
      </c>
      <c r="G14" s="71"/>
      <c r="H14" s="72">
        <v>602</v>
      </c>
      <c r="I14" s="70">
        <v>571</v>
      </c>
      <c r="J14" s="70">
        <v>528</v>
      </c>
      <c r="K14" s="70">
        <v>577</v>
      </c>
      <c r="L14" s="71"/>
      <c r="M14" s="72">
        <v>677</v>
      </c>
      <c r="N14" s="70">
        <v>712</v>
      </c>
      <c r="O14" s="70">
        <v>742</v>
      </c>
      <c r="P14" s="70">
        <v>614</v>
      </c>
      <c r="Q14" s="75">
        <v>553</v>
      </c>
    </row>
    <row r="15" spans="1:17" ht="11.25">
      <c r="A15" s="73" t="s">
        <v>113</v>
      </c>
      <c r="B15" s="74"/>
      <c r="D15" s="72">
        <v>627</v>
      </c>
      <c r="E15" s="71"/>
      <c r="F15" s="72">
        <v>735</v>
      </c>
      <c r="G15" s="71"/>
      <c r="H15" s="72">
        <v>787</v>
      </c>
      <c r="I15" s="70">
        <v>859</v>
      </c>
      <c r="J15" s="70">
        <v>826</v>
      </c>
      <c r="K15" s="70">
        <v>930</v>
      </c>
      <c r="L15" s="71"/>
      <c r="M15" s="72">
        <v>929</v>
      </c>
      <c r="N15" s="70">
        <v>916</v>
      </c>
      <c r="O15" s="70">
        <v>940</v>
      </c>
      <c r="P15" s="70">
        <v>762</v>
      </c>
      <c r="Q15" s="76">
        <v>804</v>
      </c>
    </row>
    <row r="16" spans="1:17" ht="11.25">
      <c r="A16" s="568" t="s">
        <v>114</v>
      </c>
      <c r="B16" s="568"/>
      <c r="D16" s="72">
        <v>1772</v>
      </c>
      <c r="E16" s="71"/>
      <c r="F16" s="72">
        <f>F13+F14+F15</f>
        <v>1431</v>
      </c>
      <c r="G16" s="71"/>
      <c r="H16" s="72">
        <f>H13+H14+H15</f>
        <v>1522</v>
      </c>
      <c r="I16" s="70">
        <f>I13+I14+I15</f>
        <v>1497</v>
      </c>
      <c r="J16" s="70">
        <f>J13+J14+J15</f>
        <v>1412</v>
      </c>
      <c r="K16" s="70">
        <f>K13+K14+K15</f>
        <v>1744</v>
      </c>
      <c r="L16" s="71"/>
      <c r="M16" s="72">
        <f>M13+M14+M15</f>
        <v>1768</v>
      </c>
      <c r="N16" s="70">
        <f>N13+N14+N15</f>
        <v>1765</v>
      </c>
      <c r="O16" s="70">
        <v>1865</v>
      </c>
      <c r="P16" s="70">
        <f>SUM(P13:P15)</f>
        <v>1486</v>
      </c>
      <c r="Q16" s="537">
        <f>Q13+Q14+Q15</f>
        <v>1570</v>
      </c>
    </row>
    <row r="17" spans="1:17" ht="11.25">
      <c r="A17" s="73" t="s">
        <v>115</v>
      </c>
      <c r="B17" s="74"/>
      <c r="D17" s="72">
        <v>535</v>
      </c>
      <c r="E17" s="71"/>
      <c r="F17" s="72">
        <v>557</v>
      </c>
      <c r="G17" s="71"/>
      <c r="H17" s="72">
        <v>562</v>
      </c>
      <c r="I17" s="70">
        <v>608</v>
      </c>
      <c r="J17" s="70">
        <v>512</v>
      </c>
      <c r="K17" s="70">
        <v>511</v>
      </c>
      <c r="L17" s="71"/>
      <c r="M17" s="72">
        <v>456</v>
      </c>
      <c r="N17" s="70">
        <v>372</v>
      </c>
      <c r="O17" s="70">
        <v>340</v>
      </c>
      <c r="P17" s="70">
        <v>389</v>
      </c>
      <c r="Q17" s="75">
        <v>487</v>
      </c>
    </row>
    <row r="18" spans="1:17" ht="11.25">
      <c r="A18" s="73" t="s">
        <v>116</v>
      </c>
      <c r="B18" s="74"/>
      <c r="D18" s="72">
        <v>129</v>
      </c>
      <c r="E18" s="71"/>
      <c r="F18" s="72">
        <v>97</v>
      </c>
      <c r="G18" s="71"/>
      <c r="H18" s="72">
        <v>123</v>
      </c>
      <c r="I18" s="70">
        <v>125</v>
      </c>
      <c r="J18" s="70">
        <v>125</v>
      </c>
      <c r="K18" s="70">
        <v>117</v>
      </c>
      <c r="L18" s="71"/>
      <c r="M18" s="72">
        <v>117</v>
      </c>
      <c r="N18" s="70">
        <v>118</v>
      </c>
      <c r="O18" s="70">
        <v>113</v>
      </c>
      <c r="P18" s="70">
        <v>112</v>
      </c>
      <c r="Q18" s="76">
        <v>111</v>
      </c>
    </row>
    <row r="19" spans="1:17" ht="11.25">
      <c r="A19" s="570" t="s">
        <v>117</v>
      </c>
      <c r="B19" s="570"/>
      <c r="C19" s="528"/>
      <c r="D19" s="83">
        <v>33569</v>
      </c>
      <c r="E19" s="81"/>
      <c r="F19" s="83">
        <f>F6+F9+F12+F13+F14+F15+F17+F18</f>
        <v>30448</v>
      </c>
      <c r="G19" s="81"/>
      <c r="H19" s="83">
        <f>H6+H9+H12+H13+H14+H15+H17+H18</f>
        <v>30680</v>
      </c>
      <c r="I19" s="82">
        <f>I6+I9+I12+I13+I14+I15+I17+I18</f>
        <v>31715</v>
      </c>
      <c r="J19" s="82">
        <f>J6+J9+J12+J13+J14+J15+J17+J18</f>
        <v>31296</v>
      </c>
      <c r="K19" s="82">
        <f>K6+K9+K12+K13+K14+K15+K17+K18</f>
        <v>27202</v>
      </c>
      <c r="L19" s="81"/>
      <c r="M19" s="83">
        <f>M6+M9+M12+M13+M14+M15+M17+M18</f>
        <v>26981</v>
      </c>
      <c r="N19" s="82">
        <f>N6+N9+N12+N13+N14+N15+N17+N18</f>
        <v>26728</v>
      </c>
      <c r="O19" s="82">
        <v>27072</v>
      </c>
      <c r="P19" s="82">
        <f>P6+P9+P12+P16+P17+P18</f>
        <v>26515</v>
      </c>
      <c r="Q19" s="91">
        <f>Q6+Q9+Q12+Q13+Q14+Q15+Q17+Q18</f>
        <v>26735</v>
      </c>
    </row>
    <row r="20" spans="1:17" ht="11.25">
      <c r="A20" s="568" t="s">
        <v>118</v>
      </c>
      <c r="B20" s="568"/>
      <c r="D20" s="72">
        <v>3362</v>
      </c>
      <c r="E20" s="71"/>
      <c r="F20" s="72">
        <v>3382</v>
      </c>
      <c r="G20" s="71"/>
      <c r="H20" s="72">
        <v>3935</v>
      </c>
      <c r="I20" s="70">
        <v>4066</v>
      </c>
      <c r="J20" s="70">
        <v>4225</v>
      </c>
      <c r="K20" s="70">
        <v>3497</v>
      </c>
      <c r="L20" s="71"/>
      <c r="M20" s="72">
        <v>4154</v>
      </c>
      <c r="N20" s="70">
        <v>4512</v>
      </c>
      <c r="O20" s="70">
        <v>4931</v>
      </c>
      <c r="P20" s="70">
        <v>4562</v>
      </c>
      <c r="Q20" s="537">
        <v>5468</v>
      </c>
    </row>
    <row r="21" spans="1:17" ht="11.25">
      <c r="A21" s="568" t="s">
        <v>119</v>
      </c>
      <c r="B21" s="568"/>
      <c r="D21" s="72">
        <v>1890</v>
      </c>
      <c r="E21" s="71"/>
      <c r="F21" s="72">
        <v>1541</v>
      </c>
      <c r="G21" s="71"/>
      <c r="H21" s="72">
        <v>1077</v>
      </c>
      <c r="I21" s="70">
        <v>1146</v>
      </c>
      <c r="J21" s="70">
        <v>955</v>
      </c>
      <c r="K21" s="70">
        <v>1292</v>
      </c>
      <c r="L21" s="71"/>
      <c r="M21" s="72">
        <v>1206</v>
      </c>
      <c r="N21" s="70">
        <v>1097</v>
      </c>
      <c r="O21" s="70">
        <v>1127</v>
      </c>
      <c r="P21" s="70">
        <v>1522</v>
      </c>
      <c r="Q21" s="75">
        <v>1192</v>
      </c>
    </row>
    <row r="22" spans="1:17" ht="11.25">
      <c r="A22" s="568" t="s">
        <v>120</v>
      </c>
      <c r="B22" s="568"/>
      <c r="D22" s="72">
        <v>445</v>
      </c>
      <c r="E22" s="71"/>
      <c r="F22" s="72">
        <v>542</v>
      </c>
      <c r="G22" s="71"/>
      <c r="H22" s="72">
        <v>334</v>
      </c>
      <c r="I22" s="70">
        <v>336</v>
      </c>
      <c r="J22" s="70">
        <v>288</v>
      </c>
      <c r="K22" s="70">
        <v>267</v>
      </c>
      <c r="L22" s="71"/>
      <c r="M22" s="72">
        <v>233</v>
      </c>
      <c r="N22" s="70">
        <v>228</v>
      </c>
      <c r="O22" s="70">
        <v>224</v>
      </c>
      <c r="P22" s="70">
        <v>277</v>
      </c>
      <c r="Q22" s="75">
        <v>213</v>
      </c>
    </row>
    <row r="23" spans="1:17" ht="11.25">
      <c r="A23" s="568" t="s">
        <v>112</v>
      </c>
      <c r="B23" s="568"/>
      <c r="D23" s="72">
        <v>277</v>
      </c>
      <c r="E23" s="71"/>
      <c r="F23" s="72">
        <v>7</v>
      </c>
      <c r="G23" s="71"/>
      <c r="H23" s="72">
        <v>80</v>
      </c>
      <c r="I23" s="70">
        <v>33</v>
      </c>
      <c r="J23" s="70">
        <v>56</v>
      </c>
      <c r="K23" s="70">
        <v>72</v>
      </c>
      <c r="L23" s="71"/>
      <c r="M23" s="72">
        <v>78</v>
      </c>
      <c r="N23" s="70">
        <v>101</v>
      </c>
      <c r="O23" s="70">
        <v>110</v>
      </c>
      <c r="P23" s="70">
        <v>196</v>
      </c>
      <c r="Q23" s="75">
        <v>264</v>
      </c>
    </row>
    <row r="24" spans="1:17" ht="11.25">
      <c r="A24" s="568" t="s">
        <v>121</v>
      </c>
      <c r="B24" s="568"/>
      <c r="D24" s="72">
        <v>356</v>
      </c>
      <c r="E24" s="71"/>
      <c r="F24" s="72">
        <v>383</v>
      </c>
      <c r="G24" s="71"/>
      <c r="H24" s="72">
        <v>403</v>
      </c>
      <c r="I24" s="70">
        <v>417</v>
      </c>
      <c r="J24" s="70">
        <v>340</v>
      </c>
      <c r="K24" s="70">
        <v>252</v>
      </c>
      <c r="L24" s="71"/>
      <c r="M24" s="72">
        <v>353</v>
      </c>
      <c r="N24" s="70">
        <v>389</v>
      </c>
      <c r="O24" s="70">
        <v>435</v>
      </c>
      <c r="P24" s="70">
        <v>464</v>
      </c>
      <c r="Q24" s="75">
        <f>270+239</f>
        <v>509</v>
      </c>
    </row>
    <row r="25" spans="1:17" ht="11.25">
      <c r="A25" s="568" t="s">
        <v>122</v>
      </c>
      <c r="B25" s="568"/>
      <c r="D25" s="72">
        <v>475</v>
      </c>
      <c r="E25" s="71"/>
      <c r="F25" s="72">
        <v>461</v>
      </c>
      <c r="G25" s="71"/>
      <c r="H25" s="72">
        <v>589</v>
      </c>
      <c r="I25" s="70">
        <v>698</v>
      </c>
      <c r="J25" s="70">
        <v>731</v>
      </c>
      <c r="K25" s="70">
        <v>860</v>
      </c>
      <c r="L25" s="71"/>
      <c r="M25" s="72">
        <v>624</v>
      </c>
      <c r="N25" s="70">
        <v>446</v>
      </c>
      <c r="O25" s="70">
        <v>407</v>
      </c>
      <c r="P25" s="70">
        <v>586</v>
      </c>
      <c r="Q25" s="76">
        <v>523</v>
      </c>
    </row>
    <row r="26" spans="1:17" ht="12" thickBot="1">
      <c r="A26" s="570" t="s">
        <v>123</v>
      </c>
      <c r="B26" s="570"/>
      <c r="C26" s="528"/>
      <c r="D26" s="83">
        <v>6805</v>
      </c>
      <c r="E26" s="81"/>
      <c r="F26" s="83">
        <f>F20+F21+F22+F23+F25+F24</f>
        <v>6316</v>
      </c>
      <c r="G26" s="81"/>
      <c r="H26" s="83">
        <f>H20+H21+H22+H23+H25+H24</f>
        <v>6418</v>
      </c>
      <c r="I26" s="82">
        <f>I20+I21+I22+I23+I25+I24</f>
        <v>6696</v>
      </c>
      <c r="J26" s="82">
        <f>J20+J21+J22+J23+J25+J24</f>
        <v>6595</v>
      </c>
      <c r="K26" s="82">
        <f>K20+K21+K22+K23+K25+K24</f>
        <v>6240</v>
      </c>
      <c r="L26" s="81"/>
      <c r="M26" s="83">
        <f>M20+M21+M22+M23+M25+M24</f>
        <v>6648</v>
      </c>
      <c r="N26" s="82">
        <f>N20+N21+N22+N23+N25+N24</f>
        <v>6773</v>
      </c>
      <c r="O26" s="82">
        <v>7234</v>
      </c>
      <c r="P26" s="82">
        <f>SUM(P20:P25)</f>
        <v>7607</v>
      </c>
      <c r="Q26" s="91">
        <f>Q20+Q21+Q22+Q23+Q25+Q24</f>
        <v>8169</v>
      </c>
    </row>
    <row r="27" spans="1:256" ht="12" thickBot="1">
      <c r="A27" s="570" t="s">
        <v>124</v>
      </c>
      <c r="B27" s="570"/>
      <c r="C27" s="528"/>
      <c r="D27" s="83">
        <v>40374</v>
      </c>
      <c r="E27" s="81"/>
      <c r="F27" s="83">
        <f>F19+F26</f>
        <v>36764</v>
      </c>
      <c r="G27" s="81"/>
      <c r="H27" s="83">
        <f>H19+H26</f>
        <v>37098</v>
      </c>
      <c r="I27" s="82">
        <f>I19+I26</f>
        <v>38411</v>
      </c>
      <c r="J27" s="82">
        <f>J19+J26</f>
        <v>37891</v>
      </c>
      <c r="K27" s="82">
        <f>K19+K26</f>
        <v>33442</v>
      </c>
      <c r="L27" s="81"/>
      <c r="M27" s="83">
        <f>M19+M26</f>
        <v>33629</v>
      </c>
      <c r="N27" s="82">
        <f>N19+N26</f>
        <v>33501</v>
      </c>
      <c r="O27" s="82">
        <f>O19+O26</f>
        <v>34306</v>
      </c>
      <c r="P27" s="82">
        <f>P19+P26</f>
        <v>34122</v>
      </c>
      <c r="Q27" s="91">
        <f>Q19+Q26</f>
        <v>34904</v>
      </c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  <c r="IM27" s="84"/>
      <c r="IN27" s="84"/>
      <c r="IO27" s="84"/>
      <c r="IP27" s="84"/>
      <c r="IQ27" s="84"/>
      <c r="IR27" s="84"/>
      <c r="IS27" s="84"/>
      <c r="IT27" s="84"/>
      <c r="IU27" s="84"/>
      <c r="IV27" s="84"/>
    </row>
    <row r="28" spans="1:256" ht="11.25">
      <c r="A28" s="85"/>
      <c r="B28" s="85"/>
      <c r="C28" s="8"/>
      <c r="D28" s="83"/>
      <c r="E28" s="81"/>
      <c r="F28" s="83"/>
      <c r="G28" s="81"/>
      <c r="H28" s="83"/>
      <c r="I28" s="82"/>
      <c r="J28" s="82"/>
      <c r="K28" s="70"/>
      <c r="L28" s="71"/>
      <c r="M28" s="83"/>
      <c r="N28" s="70"/>
      <c r="O28" s="70"/>
      <c r="P28" s="70"/>
      <c r="Q28" s="76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17" ht="11.25">
      <c r="A29" s="570" t="s">
        <v>125</v>
      </c>
      <c r="B29" s="570"/>
      <c r="C29" s="528"/>
      <c r="D29" s="83"/>
      <c r="E29" s="81"/>
      <c r="F29" s="83"/>
      <c r="G29" s="81"/>
      <c r="H29" s="83"/>
      <c r="I29" s="82"/>
      <c r="J29" s="82"/>
      <c r="K29" s="70"/>
      <c r="L29" s="71"/>
      <c r="M29" s="83"/>
      <c r="N29" s="70"/>
      <c r="O29" s="70"/>
      <c r="P29" s="70"/>
      <c r="Q29" s="537"/>
    </row>
    <row r="30" spans="1:17" ht="11.25">
      <c r="A30" s="73" t="s">
        <v>126</v>
      </c>
      <c r="B30" s="74"/>
      <c r="D30" s="72">
        <v>2000</v>
      </c>
      <c r="E30" s="71"/>
      <c r="F30" s="72">
        <v>2000</v>
      </c>
      <c r="G30" s="71"/>
      <c r="H30" s="72">
        <v>2000</v>
      </c>
      <c r="I30" s="70">
        <v>2000</v>
      </c>
      <c r="J30" s="70">
        <v>2000</v>
      </c>
      <c r="K30" s="70">
        <v>2000</v>
      </c>
      <c r="L30" s="71"/>
      <c r="M30" s="72">
        <v>2000</v>
      </c>
      <c r="N30" s="70">
        <v>2000</v>
      </c>
      <c r="O30" s="70">
        <v>2000</v>
      </c>
      <c r="P30" s="70">
        <v>2000</v>
      </c>
      <c r="Q30" s="75">
        <v>2000</v>
      </c>
    </row>
    <row r="31" spans="1:17" ht="11.25">
      <c r="A31" s="73" t="s">
        <v>127</v>
      </c>
      <c r="B31" s="74"/>
      <c r="D31" s="72">
        <v>377</v>
      </c>
      <c r="E31" s="71"/>
      <c r="F31" s="72">
        <v>-64</v>
      </c>
      <c r="G31" s="71"/>
      <c r="H31" s="72">
        <v>48</v>
      </c>
      <c r="I31" s="70">
        <v>-64</v>
      </c>
      <c r="J31" s="70">
        <v>-75</v>
      </c>
      <c r="K31" s="70">
        <v>-183</v>
      </c>
      <c r="L31" s="71"/>
      <c r="M31" s="72">
        <v>26</v>
      </c>
      <c r="N31" s="70">
        <v>100</v>
      </c>
      <c r="O31" s="70">
        <v>170</v>
      </c>
      <c r="P31" s="70">
        <v>158</v>
      </c>
      <c r="Q31" s="75">
        <v>-556</v>
      </c>
    </row>
    <row r="32" spans="1:17" ht="11.25">
      <c r="A32" s="73" t="s">
        <v>128</v>
      </c>
      <c r="B32" s="74"/>
      <c r="D32" s="72">
        <v>741</v>
      </c>
      <c r="E32" s="71"/>
      <c r="F32" s="72">
        <v>1868</v>
      </c>
      <c r="G32" s="71"/>
      <c r="H32" s="72">
        <v>1704</v>
      </c>
      <c r="I32" s="70">
        <v>1917</v>
      </c>
      <c r="J32" s="70">
        <v>1869</v>
      </c>
      <c r="K32" s="70">
        <v>2216</v>
      </c>
      <c r="L32" s="71"/>
      <c r="M32" s="72">
        <v>2160</v>
      </c>
      <c r="N32" s="70">
        <v>2272</v>
      </c>
      <c r="O32" s="70">
        <v>2341</v>
      </c>
      <c r="P32" s="70">
        <v>2427</v>
      </c>
      <c r="Q32" s="75">
        <v>2313</v>
      </c>
    </row>
    <row r="33" spans="1:17" ht="11.25">
      <c r="A33" s="73" t="s">
        <v>129</v>
      </c>
      <c r="B33" s="74"/>
      <c r="D33" s="72">
        <v>22184</v>
      </c>
      <c r="E33" s="71"/>
      <c r="F33" s="72">
        <v>16407</v>
      </c>
      <c r="G33" s="71"/>
      <c r="H33" s="72">
        <v>16569</v>
      </c>
      <c r="I33" s="70">
        <v>16405</v>
      </c>
      <c r="J33" s="70">
        <v>16735</v>
      </c>
      <c r="K33" s="70">
        <v>11739</v>
      </c>
      <c r="L33" s="71"/>
      <c r="M33" s="72">
        <v>12449</v>
      </c>
      <c r="N33" s="70">
        <v>12591</v>
      </c>
      <c r="O33" s="70">
        <v>13195</v>
      </c>
      <c r="P33" s="70">
        <v>13109</v>
      </c>
      <c r="Q33" s="76">
        <v>14354</v>
      </c>
    </row>
    <row r="34" spans="1:17" ht="11.25">
      <c r="A34" s="568" t="s">
        <v>130</v>
      </c>
      <c r="B34" s="568"/>
      <c r="D34" s="72">
        <v>25302</v>
      </c>
      <c r="E34" s="71"/>
      <c r="F34" s="72">
        <f>F30+F31+F33+F32</f>
        <v>20211</v>
      </c>
      <c r="G34" s="71"/>
      <c r="H34" s="72">
        <f>H30+H31+H33+H32</f>
        <v>20321</v>
      </c>
      <c r="I34" s="70">
        <f>I30+I31+I33+I32</f>
        <v>20258</v>
      </c>
      <c r="J34" s="70">
        <f>J30+J31+J33+J32</f>
        <v>20529</v>
      </c>
      <c r="K34" s="70">
        <f>K30+K31+K33+K32</f>
        <v>15772</v>
      </c>
      <c r="L34" s="71"/>
      <c r="M34" s="72">
        <v>16635</v>
      </c>
      <c r="N34" s="70">
        <f>N33+N32+N31+N30</f>
        <v>16963</v>
      </c>
      <c r="O34" s="70">
        <v>17706</v>
      </c>
      <c r="P34" s="70">
        <f>SUM(P30:P33)</f>
        <v>17694</v>
      </c>
      <c r="Q34" s="537">
        <f>SUM(Q30:Q33)</f>
        <v>18111</v>
      </c>
    </row>
    <row r="35" spans="1:17" ht="11.25">
      <c r="A35" s="571" t="s">
        <v>131</v>
      </c>
      <c r="B35" s="571"/>
      <c r="C35" s="86"/>
      <c r="D35" s="72">
        <v>228</v>
      </c>
      <c r="E35" s="71"/>
      <c r="F35" s="72">
        <v>203</v>
      </c>
      <c r="G35" s="71"/>
      <c r="H35" s="72">
        <v>218</v>
      </c>
      <c r="I35" s="70">
        <v>218</v>
      </c>
      <c r="J35" s="70">
        <v>215</v>
      </c>
      <c r="K35" s="70">
        <v>139</v>
      </c>
      <c r="L35" s="71"/>
      <c r="M35" s="72">
        <v>136</v>
      </c>
      <c r="N35" s="70">
        <v>136</v>
      </c>
      <c r="O35" s="70">
        <v>144</v>
      </c>
      <c r="P35" s="70">
        <v>91</v>
      </c>
      <c r="Q35" s="76">
        <v>90</v>
      </c>
    </row>
    <row r="36" spans="1:17" ht="11.25">
      <c r="A36" s="570" t="s">
        <v>132</v>
      </c>
      <c r="B36" s="570"/>
      <c r="C36" s="528"/>
      <c r="D36" s="83">
        <v>25530</v>
      </c>
      <c r="E36" s="81"/>
      <c r="F36" s="83">
        <f>F30+F31+F33+F35+F32</f>
        <v>20414</v>
      </c>
      <c r="G36" s="81"/>
      <c r="H36" s="83">
        <f>H30+H31+H33+H35+H32</f>
        <v>20539</v>
      </c>
      <c r="I36" s="82">
        <f>I30+I31+I33+I35+I32</f>
        <v>20476</v>
      </c>
      <c r="J36" s="82">
        <f>J30+J31+J33+J35+J32</f>
        <v>20744</v>
      </c>
      <c r="K36" s="82">
        <f>K30+K31+K33+K35+K32</f>
        <v>15911</v>
      </c>
      <c r="L36" s="81"/>
      <c r="M36" s="83">
        <f>M30+M31+M33+M35+M32</f>
        <v>16771</v>
      </c>
      <c r="N36" s="82">
        <f>N30+N31+N33+N35+N32</f>
        <v>17099</v>
      </c>
      <c r="O36" s="82">
        <f>O30+O31+O33+O35+O32</f>
        <v>17850</v>
      </c>
      <c r="P36" s="82">
        <f>P30+P31+P33+P35+P32</f>
        <v>17785</v>
      </c>
      <c r="Q36" s="91">
        <f>Q30+Q31+Q33+Q35+Q32</f>
        <v>18201</v>
      </c>
    </row>
    <row r="37" spans="1:17" ht="11.25">
      <c r="A37" s="73" t="s">
        <v>133</v>
      </c>
      <c r="B37" s="74"/>
      <c r="D37" s="72">
        <v>2997</v>
      </c>
      <c r="E37" s="71"/>
      <c r="F37" s="72">
        <v>4870</v>
      </c>
      <c r="G37" s="71"/>
      <c r="H37" s="72">
        <v>4412</v>
      </c>
      <c r="I37" s="70">
        <v>5816</v>
      </c>
      <c r="J37" s="70">
        <v>6469</v>
      </c>
      <c r="K37" s="70">
        <v>6539</v>
      </c>
      <c r="L37" s="71"/>
      <c r="M37" s="72">
        <v>5587</v>
      </c>
      <c r="N37" s="70">
        <v>5493</v>
      </c>
      <c r="O37" s="70">
        <v>5790</v>
      </c>
      <c r="P37" s="70">
        <v>6191</v>
      </c>
      <c r="Q37" s="537">
        <v>5986</v>
      </c>
    </row>
    <row r="38" spans="1:17" ht="11.25">
      <c r="A38" s="73" t="s">
        <v>134</v>
      </c>
      <c r="B38" s="74"/>
      <c r="D38" s="72">
        <v>123</v>
      </c>
      <c r="E38" s="71"/>
      <c r="F38" s="72">
        <v>159</v>
      </c>
      <c r="G38" s="71"/>
      <c r="H38" s="72">
        <v>154</v>
      </c>
      <c r="I38" s="70">
        <v>211</v>
      </c>
      <c r="J38" s="70">
        <v>125</v>
      </c>
      <c r="K38" s="70">
        <v>256</v>
      </c>
      <c r="L38" s="71"/>
      <c r="M38" s="72">
        <v>153</v>
      </c>
      <c r="N38" s="70">
        <v>118</v>
      </c>
      <c r="O38" s="70">
        <v>169</v>
      </c>
      <c r="P38" s="70">
        <v>208</v>
      </c>
      <c r="Q38" s="75">
        <v>178</v>
      </c>
    </row>
    <row r="39" spans="1:17" ht="11.25">
      <c r="A39" s="73" t="s">
        <v>135</v>
      </c>
      <c r="B39" s="74"/>
      <c r="D39" s="72">
        <v>2011</v>
      </c>
      <c r="E39" s="71"/>
      <c r="F39" s="72">
        <v>1979</v>
      </c>
      <c r="G39" s="71"/>
      <c r="H39" s="72">
        <v>2033</v>
      </c>
      <c r="I39" s="70">
        <v>2071</v>
      </c>
      <c r="J39" s="70">
        <v>2012</v>
      </c>
      <c r="K39" s="70">
        <v>1860</v>
      </c>
      <c r="L39" s="71"/>
      <c r="M39" s="72">
        <v>2061</v>
      </c>
      <c r="N39" s="70">
        <v>2071</v>
      </c>
      <c r="O39" s="70">
        <v>2063</v>
      </c>
      <c r="P39" s="70">
        <v>2063</v>
      </c>
      <c r="Q39" s="75">
        <v>2234</v>
      </c>
    </row>
    <row r="40" spans="1:256" ht="11.25">
      <c r="A40" s="77" t="s">
        <v>136</v>
      </c>
      <c r="B40" s="78"/>
      <c r="C40" s="79"/>
      <c r="D40" s="72">
        <v>1466</v>
      </c>
      <c r="E40" s="71"/>
      <c r="F40" s="72">
        <v>1466</v>
      </c>
      <c r="G40" s="71"/>
      <c r="H40" s="72">
        <v>1585</v>
      </c>
      <c r="I40" s="70">
        <v>1583</v>
      </c>
      <c r="J40" s="70">
        <v>1554</v>
      </c>
      <c r="K40" s="70">
        <v>1487</v>
      </c>
      <c r="L40" s="71"/>
      <c r="M40" s="72">
        <v>1502</v>
      </c>
      <c r="N40" s="70">
        <v>1474</v>
      </c>
      <c r="O40" s="70">
        <v>1403</v>
      </c>
      <c r="P40" s="70">
        <v>1351</v>
      </c>
      <c r="Q40" s="75">
        <v>1328</v>
      </c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  <c r="IV40" s="61"/>
    </row>
    <row r="41" spans="1:17" ht="11.25">
      <c r="A41" s="73" t="s">
        <v>137</v>
      </c>
      <c r="B41" s="74"/>
      <c r="D41" s="72">
        <v>1676</v>
      </c>
      <c r="E41" s="71"/>
      <c r="F41" s="72">
        <v>714</v>
      </c>
      <c r="G41" s="71"/>
      <c r="H41" s="72">
        <v>689</v>
      </c>
      <c r="I41" s="70">
        <v>692</v>
      </c>
      <c r="J41" s="70">
        <v>679</v>
      </c>
      <c r="K41" s="70">
        <v>563</v>
      </c>
      <c r="L41" s="71"/>
      <c r="M41" s="72">
        <v>516</v>
      </c>
      <c r="N41" s="70">
        <v>540</v>
      </c>
      <c r="O41" s="70">
        <v>568</v>
      </c>
      <c r="P41" s="70">
        <v>347</v>
      </c>
      <c r="Q41" s="76">
        <v>431</v>
      </c>
    </row>
    <row r="42" spans="1:256" ht="11.25">
      <c r="A42" s="77" t="s">
        <v>138</v>
      </c>
      <c r="B42" s="78"/>
      <c r="C42" s="79"/>
      <c r="D42" s="72">
        <v>1019</v>
      </c>
      <c r="E42" s="71"/>
      <c r="F42" s="72">
        <v>965</v>
      </c>
      <c r="G42" s="71"/>
      <c r="H42" s="72">
        <v>919</v>
      </c>
      <c r="I42" s="70">
        <v>953</v>
      </c>
      <c r="J42" s="70">
        <v>910</v>
      </c>
      <c r="K42" s="70">
        <v>960</v>
      </c>
      <c r="L42" s="71"/>
      <c r="M42" s="72">
        <v>906</v>
      </c>
      <c r="N42" s="70">
        <v>787</v>
      </c>
      <c r="O42" s="70">
        <v>761</v>
      </c>
      <c r="P42" s="70">
        <v>718</v>
      </c>
      <c r="Q42" s="538">
        <v>617</v>
      </c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  <c r="IS42" s="61"/>
      <c r="IT42" s="61"/>
      <c r="IU42" s="61"/>
      <c r="IV42" s="61"/>
    </row>
    <row r="43" spans="1:17" ht="11.25">
      <c r="A43" s="568" t="s">
        <v>139</v>
      </c>
      <c r="B43" s="568"/>
      <c r="D43" s="72">
        <v>9292</v>
      </c>
      <c r="E43" s="71"/>
      <c r="F43" s="72">
        <f>+F37+F38+F41+F39+F42+F40</f>
        <v>10153</v>
      </c>
      <c r="G43" s="71"/>
      <c r="H43" s="72">
        <f>+H37+H38+H41+H39+H42+H40</f>
        <v>9792</v>
      </c>
      <c r="I43" s="70">
        <f>+I37+I38+I41+I39+I42+I40</f>
        <v>11326</v>
      </c>
      <c r="J43" s="70">
        <f>+J37+J38+J41+J39+J42+J40</f>
        <v>11749</v>
      </c>
      <c r="K43" s="70">
        <f>+K37+K38+K41+K39+K42+K40</f>
        <v>11665</v>
      </c>
      <c r="L43" s="71"/>
      <c r="M43" s="72">
        <f>+M37+M38+M41+M39+M42+M40</f>
        <v>10725</v>
      </c>
      <c r="N43" s="70">
        <f>+N37+N38+N41+N39+N42+N40</f>
        <v>10483</v>
      </c>
      <c r="O43" s="70">
        <f>+O37+O38+O41+O39+O42+O40</f>
        <v>10754</v>
      </c>
      <c r="P43" s="70">
        <f>+P37+P38+P41+P39+P42+P40</f>
        <v>10878</v>
      </c>
      <c r="Q43" s="538">
        <f>+Q37+Q38+Q41+Q39+Q42+Q40</f>
        <v>10774</v>
      </c>
    </row>
    <row r="44" spans="1:17" ht="11.25">
      <c r="A44" s="73" t="s">
        <v>133</v>
      </c>
      <c r="B44" s="74"/>
      <c r="D44" s="72">
        <v>1813</v>
      </c>
      <c r="E44" s="71"/>
      <c r="F44" s="72">
        <v>2145</v>
      </c>
      <c r="G44" s="71"/>
      <c r="H44" s="72">
        <v>3006</v>
      </c>
      <c r="I44" s="70">
        <v>2295</v>
      </c>
      <c r="J44" s="70">
        <v>1460</v>
      </c>
      <c r="K44" s="70">
        <v>1559</v>
      </c>
      <c r="L44" s="71"/>
      <c r="M44" s="72">
        <v>2087</v>
      </c>
      <c r="N44" s="70">
        <v>1641</v>
      </c>
      <c r="O44" s="70">
        <v>1435</v>
      </c>
      <c r="P44" s="70">
        <v>965</v>
      </c>
      <c r="Q44" s="537">
        <v>1673</v>
      </c>
    </row>
    <row r="45" spans="1:17" ht="11.25">
      <c r="A45" s="73" t="s">
        <v>134</v>
      </c>
      <c r="B45" s="74"/>
      <c r="D45" s="72">
        <v>37</v>
      </c>
      <c r="E45" s="71"/>
      <c r="F45" s="72">
        <v>48</v>
      </c>
      <c r="G45" s="71"/>
      <c r="H45" s="72">
        <v>34</v>
      </c>
      <c r="I45" s="70">
        <v>86</v>
      </c>
      <c r="J45" s="70">
        <v>59</v>
      </c>
      <c r="K45" s="70">
        <v>215</v>
      </c>
      <c r="L45" s="71"/>
      <c r="M45" s="72">
        <v>73</v>
      </c>
      <c r="N45" s="70">
        <v>35</v>
      </c>
      <c r="O45" s="70">
        <v>51</v>
      </c>
      <c r="P45" s="70">
        <v>110</v>
      </c>
      <c r="Q45" s="75">
        <v>75</v>
      </c>
    </row>
    <row r="46" spans="1:256" ht="11.25">
      <c r="A46" s="77" t="s">
        <v>140</v>
      </c>
      <c r="B46" s="78"/>
      <c r="C46" s="79"/>
      <c r="D46" s="72">
        <v>1209</v>
      </c>
      <c r="E46" s="71"/>
      <c r="F46" s="72">
        <v>1418</v>
      </c>
      <c r="G46" s="71"/>
      <c r="H46" s="72">
        <v>1265</v>
      </c>
      <c r="I46" s="70">
        <v>1199</v>
      </c>
      <c r="J46" s="70">
        <v>1234</v>
      </c>
      <c r="K46" s="70">
        <v>1433</v>
      </c>
      <c r="L46" s="71"/>
      <c r="M46" s="72">
        <v>1354</v>
      </c>
      <c r="N46" s="70">
        <v>1613</v>
      </c>
      <c r="O46" s="70">
        <v>1587</v>
      </c>
      <c r="P46" s="70">
        <v>1823</v>
      </c>
      <c r="Q46" s="76">
        <v>1476</v>
      </c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  <c r="IR46" s="61"/>
      <c r="IS46" s="61"/>
      <c r="IT46" s="61"/>
      <c r="IU46" s="61"/>
      <c r="IV46" s="61"/>
    </row>
    <row r="47" spans="1:256" ht="11.25">
      <c r="A47" s="77" t="s">
        <v>135</v>
      </c>
      <c r="B47" s="78"/>
      <c r="C47" s="79"/>
      <c r="D47" s="72">
        <v>765</v>
      </c>
      <c r="E47" s="71"/>
      <c r="F47" s="72">
        <v>760</v>
      </c>
      <c r="G47" s="71"/>
      <c r="H47" s="72">
        <v>817</v>
      </c>
      <c r="I47" s="70">
        <v>952</v>
      </c>
      <c r="J47" s="70">
        <v>761</v>
      </c>
      <c r="K47" s="70">
        <v>787</v>
      </c>
      <c r="L47" s="71"/>
      <c r="M47" s="72">
        <v>917</v>
      </c>
      <c r="N47" s="70">
        <v>754</v>
      </c>
      <c r="O47" s="70">
        <v>865</v>
      </c>
      <c r="P47" s="70">
        <v>842</v>
      </c>
      <c r="Q47" s="537">
        <v>1110</v>
      </c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  <c r="IR47" s="61"/>
      <c r="IS47" s="61"/>
      <c r="IT47" s="61"/>
      <c r="IU47" s="61"/>
      <c r="IV47" s="61"/>
    </row>
    <row r="48" spans="1:256" ht="11.25">
      <c r="A48" s="77" t="s">
        <v>144</v>
      </c>
      <c r="B48" s="78"/>
      <c r="C48" s="79"/>
      <c r="D48" s="72">
        <v>751</v>
      </c>
      <c r="E48" s="71"/>
      <c r="F48" s="72">
        <v>762</v>
      </c>
      <c r="G48" s="71"/>
      <c r="H48" s="72">
        <v>626</v>
      </c>
      <c r="I48" s="70">
        <v>837</v>
      </c>
      <c r="J48" s="70">
        <v>719</v>
      </c>
      <c r="K48" s="70">
        <v>786</v>
      </c>
      <c r="L48" s="71"/>
      <c r="M48" s="72">
        <v>595</v>
      </c>
      <c r="N48" s="70">
        <v>605</v>
      </c>
      <c r="O48" s="70">
        <v>457</v>
      </c>
      <c r="P48" s="70">
        <v>630</v>
      </c>
      <c r="Q48" s="75">
        <v>623</v>
      </c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  <c r="IR48" s="61"/>
      <c r="IS48" s="61"/>
      <c r="IT48" s="61"/>
      <c r="IU48" s="61"/>
      <c r="IV48" s="61"/>
    </row>
    <row r="49" spans="1:256" ht="11.25">
      <c r="A49" s="77" t="s">
        <v>138</v>
      </c>
      <c r="B49" s="78"/>
      <c r="C49" s="79"/>
      <c r="D49" s="72">
        <v>977</v>
      </c>
      <c r="E49" s="71"/>
      <c r="F49" s="72">
        <v>1064</v>
      </c>
      <c r="G49" s="71"/>
      <c r="H49" s="72">
        <v>1019</v>
      </c>
      <c r="I49" s="70">
        <v>1240</v>
      </c>
      <c r="J49" s="70">
        <v>1165</v>
      </c>
      <c r="K49" s="70">
        <v>1086</v>
      </c>
      <c r="L49" s="71"/>
      <c r="M49" s="72">
        <v>1107</v>
      </c>
      <c r="N49" s="70">
        <v>1271</v>
      </c>
      <c r="O49" s="70">
        <v>1307</v>
      </c>
      <c r="P49" s="70">
        <v>1089</v>
      </c>
      <c r="Q49" s="76">
        <v>972</v>
      </c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  <c r="IP49" s="61"/>
      <c r="IQ49" s="61"/>
      <c r="IR49" s="61"/>
      <c r="IS49" s="61"/>
      <c r="IT49" s="61"/>
      <c r="IU49" s="61"/>
      <c r="IV49" s="61"/>
    </row>
    <row r="50" spans="1:17" ht="11.25">
      <c r="A50" s="568" t="s">
        <v>141</v>
      </c>
      <c r="B50" s="568"/>
      <c r="D50" s="72">
        <v>5552</v>
      </c>
      <c r="E50" s="71"/>
      <c r="F50" s="72">
        <f>F44+F45+F46+F47+F48+F49</f>
        <v>6197</v>
      </c>
      <c r="G50" s="71"/>
      <c r="H50" s="72">
        <f>H44+H45+H46+H47+H48+H49</f>
        <v>6767</v>
      </c>
      <c r="I50" s="70">
        <f>I44+I45+I46+I47+I48+I49</f>
        <v>6609</v>
      </c>
      <c r="J50" s="70">
        <f>J44+J45+J46+J47+J48+J49</f>
        <v>5398</v>
      </c>
      <c r="K50" s="70">
        <f>K44+K45+K46+K47+K48+K49</f>
        <v>5866</v>
      </c>
      <c r="L50" s="71"/>
      <c r="M50" s="72">
        <f>M44+M45+M46+M47+M48+M49</f>
        <v>6133</v>
      </c>
      <c r="N50" s="70">
        <f>N44+N45+N46+N47+N48+N49</f>
        <v>5919</v>
      </c>
      <c r="O50" s="70">
        <f>O44+O45+O46+O47+O48+O49</f>
        <v>5702</v>
      </c>
      <c r="P50" s="70">
        <f>P44+P45+P46+P47+P48+P49</f>
        <v>5459</v>
      </c>
      <c r="Q50" s="76">
        <f>Q44+Q45+Q46+Q47+Q48+Q49</f>
        <v>5929</v>
      </c>
    </row>
    <row r="51" spans="1:17" ht="11.25">
      <c r="A51" s="570" t="s">
        <v>142</v>
      </c>
      <c r="B51" s="570"/>
      <c r="C51" s="528"/>
      <c r="D51" s="83">
        <v>14844</v>
      </c>
      <c r="E51" s="81"/>
      <c r="F51" s="83">
        <f>F50+F43</f>
        <v>16350</v>
      </c>
      <c r="G51" s="81"/>
      <c r="H51" s="83">
        <f>H50+H43</f>
        <v>16559</v>
      </c>
      <c r="I51" s="82">
        <f>I50+I43</f>
        <v>17935</v>
      </c>
      <c r="J51" s="82">
        <f>J50+J43</f>
        <v>17147</v>
      </c>
      <c r="K51" s="82">
        <f>K50+K43</f>
        <v>17531</v>
      </c>
      <c r="L51" s="81"/>
      <c r="M51" s="83">
        <f>M50+M43</f>
        <v>16858</v>
      </c>
      <c r="N51" s="82">
        <f>N50+N43</f>
        <v>16402</v>
      </c>
      <c r="O51" s="82">
        <f>O50+O43</f>
        <v>16456</v>
      </c>
      <c r="P51" s="82">
        <f>P50+P43</f>
        <v>16337</v>
      </c>
      <c r="Q51" s="91">
        <f>Q50+Q43</f>
        <v>16703</v>
      </c>
    </row>
    <row r="52" spans="1:17" ht="11.25">
      <c r="A52" s="570" t="s">
        <v>143</v>
      </c>
      <c r="B52" s="570"/>
      <c r="C52" s="528"/>
      <c r="D52" s="83">
        <v>40374</v>
      </c>
      <c r="E52" s="81"/>
      <c r="F52" s="83">
        <f>F51+F36</f>
        <v>36764</v>
      </c>
      <c r="G52" s="81"/>
      <c r="H52" s="83">
        <f>H51+H36</f>
        <v>37098</v>
      </c>
      <c r="I52" s="82">
        <f>I51+I36</f>
        <v>38411</v>
      </c>
      <c r="J52" s="82">
        <f>J51+J36</f>
        <v>37891</v>
      </c>
      <c r="K52" s="82">
        <f>K51+K36</f>
        <v>33442</v>
      </c>
      <c r="L52" s="81"/>
      <c r="M52" s="83">
        <f>M51+M36</f>
        <v>33629</v>
      </c>
      <c r="N52" s="82">
        <f>N51+N36</f>
        <v>33501</v>
      </c>
      <c r="O52" s="82">
        <f>O51+O36</f>
        <v>34306</v>
      </c>
      <c r="P52" s="82">
        <f>P51+P36</f>
        <v>34122</v>
      </c>
      <c r="Q52" s="91">
        <f>Q51+Q36</f>
        <v>34904</v>
      </c>
    </row>
    <row r="53" spans="4:12" ht="11.25">
      <c r="D53" s="88"/>
      <c r="E53" s="89"/>
      <c r="F53" s="90"/>
      <c r="G53" s="89"/>
      <c r="H53" s="90"/>
      <c r="I53" s="90"/>
      <c r="J53" s="90"/>
      <c r="K53" s="90"/>
      <c r="L53" s="89"/>
    </row>
  </sheetData>
  <sheetProtection/>
  <mergeCells count="22">
    <mergeCell ref="A43:B43"/>
    <mergeCell ref="A50:B50"/>
    <mergeCell ref="A51:B51"/>
    <mergeCell ref="A52:B52"/>
    <mergeCell ref="A26:B26"/>
    <mergeCell ref="A27:B27"/>
    <mergeCell ref="A29:B29"/>
    <mergeCell ref="A34:B34"/>
    <mergeCell ref="A35:B35"/>
    <mergeCell ref="A36:B36"/>
    <mergeCell ref="A20:B20"/>
    <mergeCell ref="A21:B21"/>
    <mergeCell ref="A22:B22"/>
    <mergeCell ref="A23:B23"/>
    <mergeCell ref="A24:B24"/>
    <mergeCell ref="A25:B25"/>
    <mergeCell ref="A2:B2"/>
    <mergeCell ref="A6:B6"/>
    <mergeCell ref="A9:B9"/>
    <mergeCell ref="A12:B12"/>
    <mergeCell ref="A16:B16"/>
    <mergeCell ref="A19:B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2"/>
  <sheetViews>
    <sheetView zoomScale="110" zoomScaleNormal="110" zoomScalePageLayoutView="0" workbookViewId="0" topLeftCell="A1">
      <pane xSplit="2" ySplit="9" topLeftCell="O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62" sqref="A62"/>
    </sheetView>
  </sheetViews>
  <sheetFormatPr defaultColWidth="9.140625" defaultRowHeight="12.75"/>
  <cols>
    <col min="1" max="1" width="58.28125" style="1" customWidth="1"/>
    <col min="2" max="2" width="1.28515625" style="2" customWidth="1"/>
    <col min="3" max="7" width="9.421875" style="275" customWidth="1"/>
    <col min="8" max="8" width="0.9921875" style="275" customWidth="1"/>
    <col min="9" max="12" width="9.421875" style="275" customWidth="1"/>
    <col min="13" max="13" width="9.421875" style="1" customWidth="1"/>
    <col min="14" max="14" width="0.9921875" style="2" customWidth="1"/>
    <col min="15" max="18" width="9.421875" style="2" customWidth="1"/>
    <col min="19" max="19" width="9.421875" style="1" customWidth="1"/>
    <col min="20" max="20" width="0.9921875" style="1" customWidth="1"/>
    <col min="21" max="24" width="9.421875" style="2" customWidth="1"/>
    <col min="25" max="25" width="7.421875" style="1" customWidth="1"/>
    <col min="26" max="26" width="0.71875" style="1" customWidth="1"/>
    <col min="27" max="27" width="10.7109375" style="1" customWidth="1"/>
    <col min="28" max="16384" width="8.8515625" style="1" customWidth="1"/>
  </cols>
  <sheetData>
    <row r="1" spans="1:2" ht="16.5" customHeight="1">
      <c r="A1" s="6" t="s">
        <v>158</v>
      </c>
      <c r="B1" s="9"/>
    </row>
    <row r="2" spans="2:24" s="276" customFormat="1" ht="18" customHeight="1">
      <c r="B2" s="277"/>
      <c r="C2" s="278"/>
      <c r="D2" s="278"/>
      <c r="E2" s="278"/>
      <c r="F2" s="278"/>
      <c r="G2" s="278"/>
      <c r="H2" s="278"/>
      <c r="I2" s="278"/>
      <c r="J2" s="278"/>
      <c r="K2" s="278"/>
      <c r="L2" s="278"/>
      <c r="N2" s="277"/>
      <c r="O2" s="277"/>
      <c r="P2" s="277"/>
      <c r="Q2" s="277"/>
      <c r="R2" s="277"/>
      <c r="U2" s="277"/>
      <c r="V2" s="277"/>
      <c r="W2" s="277"/>
      <c r="X2" s="277"/>
    </row>
    <row r="3" spans="1:24" s="285" customFormat="1" ht="12" customHeight="1">
      <c r="A3" s="279" t="s">
        <v>57</v>
      </c>
      <c r="B3" s="279"/>
      <c r="C3" s="280"/>
      <c r="D3" s="280"/>
      <c r="E3" s="280"/>
      <c r="F3" s="280"/>
      <c r="G3" s="281"/>
      <c r="H3" s="282"/>
      <c r="I3" s="280"/>
      <c r="J3" s="280"/>
      <c r="K3" s="280"/>
      <c r="L3" s="280"/>
      <c r="M3" s="281"/>
      <c r="N3" s="283"/>
      <c r="O3" s="280"/>
      <c r="P3" s="280"/>
      <c r="Q3" s="280"/>
      <c r="R3" s="280"/>
      <c r="S3" s="283"/>
      <c r="T3" s="284"/>
      <c r="U3" s="280"/>
      <c r="V3" s="280"/>
      <c r="W3" s="280"/>
      <c r="X3" s="280"/>
    </row>
    <row r="4" spans="1:27" s="285" customFormat="1" ht="12" customHeight="1">
      <c r="A4" s="286" t="s">
        <v>53</v>
      </c>
      <c r="B4" s="287"/>
      <c r="C4" s="288">
        <v>7041</v>
      </c>
      <c r="D4" s="289">
        <v>6787</v>
      </c>
      <c r="E4" s="289">
        <v>6994</v>
      </c>
      <c r="F4" s="289">
        <v>6624</v>
      </c>
      <c r="G4" s="289">
        <v>6862</v>
      </c>
      <c r="H4" s="290"/>
      <c r="I4" s="288">
        <v>5818</v>
      </c>
      <c r="J4" s="289">
        <v>6043</v>
      </c>
      <c r="K4" s="289">
        <v>5259</v>
      </c>
      <c r="L4" s="289">
        <v>4892</v>
      </c>
      <c r="M4" s="289">
        <v>5495</v>
      </c>
      <c r="N4" s="291"/>
      <c r="O4" s="288">
        <v>4672</v>
      </c>
      <c r="P4" s="289">
        <v>4729</v>
      </c>
      <c r="Q4" s="289">
        <v>4772</v>
      </c>
      <c r="R4" s="289">
        <v>5277</v>
      </c>
      <c r="S4" s="292">
        <v>4863</v>
      </c>
      <c r="T4" s="293"/>
      <c r="U4" s="288">
        <v>5831</v>
      </c>
      <c r="V4" s="289">
        <v>5662</v>
      </c>
      <c r="W4" s="289">
        <v>6348.7109375</v>
      </c>
      <c r="X4" s="289">
        <v>6808</v>
      </c>
      <c r="Y4" s="292">
        <v>6166</v>
      </c>
      <c r="AA4" s="453">
        <v>6960.53</v>
      </c>
    </row>
    <row r="5" spans="1:27" s="285" customFormat="1" ht="12" customHeight="1">
      <c r="A5" s="286" t="s">
        <v>54</v>
      </c>
      <c r="B5" s="287"/>
      <c r="C5" s="294">
        <v>20.48</v>
      </c>
      <c r="D5" s="295">
        <v>19.62</v>
      </c>
      <c r="E5" s="295">
        <v>19.76</v>
      </c>
      <c r="F5" s="295">
        <v>16.5</v>
      </c>
      <c r="G5" s="295">
        <v>19.08</v>
      </c>
      <c r="H5" s="296"/>
      <c r="I5" s="294">
        <v>16.71</v>
      </c>
      <c r="J5" s="295">
        <v>16.39</v>
      </c>
      <c r="K5" s="295">
        <v>14.91</v>
      </c>
      <c r="L5" s="295">
        <v>14.77</v>
      </c>
      <c r="M5" s="295">
        <v>15.68</v>
      </c>
      <c r="N5" s="297"/>
      <c r="O5" s="294">
        <v>14.85</v>
      </c>
      <c r="P5" s="295">
        <v>16.78</v>
      </c>
      <c r="Q5" s="295">
        <v>19.61</v>
      </c>
      <c r="R5" s="295">
        <v>17.19</v>
      </c>
      <c r="S5" s="298">
        <v>17.14</v>
      </c>
      <c r="T5" s="293"/>
      <c r="U5" s="294">
        <v>17.42</v>
      </c>
      <c r="V5" s="295">
        <v>17.21</v>
      </c>
      <c r="W5" s="295">
        <v>16.835</v>
      </c>
      <c r="X5" s="295">
        <v>16.73</v>
      </c>
      <c r="Y5" s="298">
        <v>17.05</v>
      </c>
      <c r="AA5" s="525">
        <v>16.77</v>
      </c>
    </row>
    <row r="6" spans="1:27" s="285" customFormat="1" ht="12" customHeight="1">
      <c r="A6" s="286" t="s">
        <v>55</v>
      </c>
      <c r="B6" s="287"/>
      <c r="C6" s="294">
        <v>3.06</v>
      </c>
      <c r="D6" s="295">
        <v>3.04</v>
      </c>
      <c r="E6" s="295">
        <v>3.15</v>
      </c>
      <c r="F6" s="295">
        <v>3.37</v>
      </c>
      <c r="G6" s="300">
        <v>3.15</v>
      </c>
      <c r="H6" s="296"/>
      <c r="I6" s="294">
        <v>3.73</v>
      </c>
      <c r="J6" s="295">
        <v>3.7</v>
      </c>
      <c r="K6" s="295">
        <v>3.77</v>
      </c>
      <c r="L6" s="295">
        <v>3.89</v>
      </c>
      <c r="M6" s="295">
        <v>3.77</v>
      </c>
      <c r="N6" s="297"/>
      <c r="O6" s="294">
        <v>3.96</v>
      </c>
      <c r="P6" s="295">
        <v>3.87</v>
      </c>
      <c r="Q6" s="295">
        <v>3.89</v>
      </c>
      <c r="R6" s="295">
        <v>4.06</v>
      </c>
      <c r="S6" s="298">
        <v>3.94</v>
      </c>
      <c r="T6" s="293"/>
      <c r="U6" s="294">
        <v>4.0584828125</v>
      </c>
      <c r="V6" s="295">
        <v>3.8306918032786883</v>
      </c>
      <c r="W6" s="295">
        <v>3.6250546875000005</v>
      </c>
      <c r="X6" s="295">
        <v>3.6</v>
      </c>
      <c r="Y6" s="298">
        <v>3.78</v>
      </c>
      <c r="AA6" s="526">
        <v>3.4009</v>
      </c>
    </row>
    <row r="7" spans="1:27" s="285" customFormat="1" ht="12" customHeight="1">
      <c r="A7" s="286" t="s">
        <v>56</v>
      </c>
      <c r="B7" s="287"/>
      <c r="C7" s="294">
        <v>3.0344</v>
      </c>
      <c r="D7" s="295">
        <v>3.0473</v>
      </c>
      <c r="E7" s="295">
        <v>3.2973</v>
      </c>
      <c r="F7" s="295">
        <v>3.5072</v>
      </c>
      <c r="G7" s="295">
        <f>+F7</f>
        <v>3.5072</v>
      </c>
      <c r="H7" s="296"/>
      <c r="I7" s="294">
        <v>3.8125</v>
      </c>
      <c r="J7" s="295">
        <v>3.7645</v>
      </c>
      <c r="K7" s="295">
        <v>3.7754</v>
      </c>
      <c r="L7" s="295">
        <v>3.9011</v>
      </c>
      <c r="M7" s="295">
        <f>+L7</f>
        <v>3.9011</v>
      </c>
      <c r="N7" s="297"/>
      <c r="O7" s="294">
        <v>3.759</v>
      </c>
      <c r="P7" s="295">
        <v>3.9803</v>
      </c>
      <c r="Q7" s="295">
        <v>3.8558</v>
      </c>
      <c r="R7" s="295">
        <v>4.1793</v>
      </c>
      <c r="S7" s="298">
        <f>+R7</f>
        <v>4.1793</v>
      </c>
      <c r="T7" s="293"/>
      <c r="U7" s="294">
        <v>3.95</v>
      </c>
      <c r="V7" s="295">
        <v>3.71</v>
      </c>
      <c r="W7" s="295">
        <v>3.65</v>
      </c>
      <c r="X7" s="295">
        <v>3.48</v>
      </c>
      <c r="Y7" s="298">
        <v>3.48</v>
      </c>
      <c r="AA7" s="525">
        <v>3.4139</v>
      </c>
    </row>
    <row r="8" spans="1:27" ht="12.75" customHeight="1">
      <c r="A8" s="301"/>
      <c r="B8" s="301"/>
      <c r="C8" s="302"/>
      <c r="I8" s="302"/>
      <c r="O8" s="303"/>
      <c r="U8" s="303"/>
      <c r="AA8" s="303"/>
    </row>
    <row r="9" spans="1:27" s="87" customFormat="1" ht="15" customHeight="1">
      <c r="A9" s="304" t="s">
        <v>40</v>
      </c>
      <c r="B9" s="304"/>
      <c r="C9" s="305" t="s">
        <v>5</v>
      </c>
      <c r="D9" s="306" t="s">
        <v>6</v>
      </c>
      <c r="E9" s="306" t="s">
        <v>7</v>
      </c>
      <c r="F9" s="306" t="s">
        <v>8</v>
      </c>
      <c r="G9" s="307">
        <v>2014</v>
      </c>
      <c r="H9" s="308"/>
      <c r="I9" s="305" t="s">
        <v>9</v>
      </c>
      <c r="J9" s="306" t="s">
        <v>10</v>
      </c>
      <c r="K9" s="306" t="s">
        <v>11</v>
      </c>
      <c r="L9" s="306" t="s">
        <v>12</v>
      </c>
      <c r="M9" s="307">
        <v>2015</v>
      </c>
      <c r="N9" s="307"/>
      <c r="O9" s="309" t="s">
        <v>13</v>
      </c>
      <c r="P9" s="310" t="s">
        <v>14</v>
      </c>
      <c r="Q9" s="310" t="s">
        <v>15</v>
      </c>
      <c r="R9" s="310" t="s">
        <v>16</v>
      </c>
      <c r="S9" s="307">
        <v>2016</v>
      </c>
      <c r="U9" s="309" t="s">
        <v>63</v>
      </c>
      <c r="V9" s="310" t="s">
        <v>64</v>
      </c>
      <c r="W9" s="310" t="s">
        <v>68</v>
      </c>
      <c r="X9" s="310" t="s">
        <v>69</v>
      </c>
      <c r="Y9" s="307">
        <v>2017</v>
      </c>
      <c r="AA9" s="309" t="s">
        <v>224</v>
      </c>
    </row>
    <row r="10" spans="1:27" s="315" customFormat="1" ht="12" customHeight="1">
      <c r="A10" s="119" t="s">
        <v>228</v>
      </c>
      <c r="B10" s="8"/>
      <c r="C10" s="311">
        <v>3800</v>
      </c>
      <c r="D10" s="312">
        <f>7727-C10</f>
        <v>3927</v>
      </c>
      <c r="E10" s="312">
        <v>4116</v>
      </c>
      <c r="F10" s="312">
        <f>G10-11843</f>
        <v>4790</v>
      </c>
      <c r="G10" s="312">
        <v>16633</v>
      </c>
      <c r="H10" s="8"/>
      <c r="I10" s="311">
        <v>3767</v>
      </c>
      <c r="J10" s="312">
        <v>4325</v>
      </c>
      <c r="K10" s="312">
        <v>3681</v>
      </c>
      <c r="L10" s="312">
        <v>4166</v>
      </c>
      <c r="M10" s="312">
        <v>15939</v>
      </c>
      <c r="N10" s="313"/>
      <c r="O10" s="311">
        <v>2979</v>
      </c>
      <c r="P10" s="312">
        <v>3561</v>
      </c>
      <c r="Q10" s="312">
        <v>3744</v>
      </c>
      <c r="R10" s="312">
        <v>4828</v>
      </c>
      <c r="S10" s="314">
        <v>15112</v>
      </c>
      <c r="U10" s="312">
        <v>3896</v>
      </c>
      <c r="V10" s="312">
        <v>3805</v>
      </c>
      <c r="W10" s="312">
        <v>3732</v>
      </c>
      <c r="X10" s="312">
        <v>4591</v>
      </c>
      <c r="Y10" s="314">
        <f>U10+V10+W10+X10</f>
        <v>16024</v>
      </c>
      <c r="AA10" s="453">
        <v>3206</v>
      </c>
    </row>
    <row r="11" spans="1:27" s="275" customFormat="1" ht="12" customHeight="1">
      <c r="A11" s="316" t="s">
        <v>159</v>
      </c>
      <c r="B11" s="4"/>
      <c r="C11" s="317">
        <v>3153</v>
      </c>
      <c r="D11" s="318">
        <v>3021</v>
      </c>
      <c r="E11" s="318">
        <v>3244</v>
      </c>
      <c r="F11" s="318">
        <v>3799</v>
      </c>
      <c r="G11" s="318">
        <v>13217</v>
      </c>
      <c r="H11" s="4"/>
      <c r="I11" s="317">
        <v>2994</v>
      </c>
      <c r="J11" s="318">
        <v>3474</v>
      </c>
      <c r="K11" s="318">
        <v>2869</v>
      </c>
      <c r="L11" s="318">
        <v>3161</v>
      </c>
      <c r="M11" s="318">
        <v>12498</v>
      </c>
      <c r="N11" s="319"/>
      <c r="O11" s="317">
        <v>2280</v>
      </c>
      <c r="P11" s="318">
        <v>2585</v>
      </c>
      <c r="Q11" s="318">
        <v>2517</v>
      </c>
      <c r="R11" s="318">
        <v>3108</v>
      </c>
      <c r="S11" s="320">
        <v>10490</v>
      </c>
      <c r="U11" s="318">
        <v>2916</v>
      </c>
      <c r="V11" s="318">
        <v>2804</v>
      </c>
      <c r="W11" s="318">
        <v>2882</v>
      </c>
      <c r="X11" s="318">
        <v>3611</v>
      </c>
      <c r="Y11" s="320">
        <v>12213</v>
      </c>
      <c r="Z11" s="460"/>
      <c r="AA11" s="454">
        <v>2525</v>
      </c>
    </row>
    <row r="12" spans="1:27" s="275" customFormat="1" ht="12" customHeight="1">
      <c r="A12" s="316" t="s">
        <v>160</v>
      </c>
      <c r="B12" s="4"/>
      <c r="C12" s="317">
        <v>455</v>
      </c>
      <c r="D12" s="318">
        <v>690</v>
      </c>
      <c r="E12" s="318">
        <v>610</v>
      </c>
      <c r="F12" s="318">
        <v>717</v>
      </c>
      <c r="G12" s="318">
        <v>2471</v>
      </c>
      <c r="H12" s="4"/>
      <c r="I12" s="317">
        <v>501</v>
      </c>
      <c r="J12" s="318">
        <v>628</v>
      </c>
      <c r="K12" s="318">
        <v>562</v>
      </c>
      <c r="L12" s="318">
        <v>703</v>
      </c>
      <c r="M12" s="318">
        <v>2394</v>
      </c>
      <c r="N12" s="319"/>
      <c r="O12" s="317">
        <v>410</v>
      </c>
      <c r="P12" s="318">
        <v>676</v>
      </c>
      <c r="Q12" s="318">
        <v>739</v>
      </c>
      <c r="R12" s="318">
        <v>771</v>
      </c>
      <c r="S12" s="320">
        <v>2596</v>
      </c>
      <c r="U12" s="318">
        <v>560</v>
      </c>
      <c r="V12" s="318">
        <v>660</v>
      </c>
      <c r="W12" s="329">
        <v>507</v>
      </c>
      <c r="X12" s="329">
        <v>714</v>
      </c>
      <c r="Y12" s="320">
        <v>2441</v>
      </c>
      <c r="Z12" s="460"/>
      <c r="AA12" s="454">
        <v>392</v>
      </c>
    </row>
    <row r="13" spans="1:27" s="315" customFormat="1" ht="12" customHeight="1">
      <c r="A13" s="322" t="s">
        <v>1</v>
      </c>
      <c r="B13" s="8"/>
      <c r="C13" s="323">
        <v>-2822</v>
      </c>
      <c r="D13" s="324">
        <v>-2905</v>
      </c>
      <c r="E13" s="324">
        <v>-3014</v>
      </c>
      <c r="F13" s="324">
        <v>-3524</v>
      </c>
      <c r="G13" s="324">
        <v>-12265</v>
      </c>
      <c r="H13" s="8"/>
      <c r="I13" s="323">
        <v>-2732</v>
      </c>
      <c r="J13" s="324">
        <v>-3050</v>
      </c>
      <c r="K13" s="324">
        <v>-2820</v>
      </c>
      <c r="L13" s="324">
        <v>-3207</v>
      </c>
      <c r="M13" s="324">
        <v>-11809</v>
      </c>
      <c r="N13" s="313"/>
      <c r="O13" s="323">
        <v>-2355</v>
      </c>
      <c r="P13" s="324">
        <v>-2785</v>
      </c>
      <c r="Q13" s="324">
        <v>-2831</v>
      </c>
      <c r="R13" s="324">
        <v>-3659</v>
      </c>
      <c r="S13" s="314">
        <v>-11630</v>
      </c>
      <c r="U13" s="324">
        <v>-2655</v>
      </c>
      <c r="V13" s="324">
        <v>-2916</v>
      </c>
      <c r="W13" s="324">
        <v>-2794</v>
      </c>
      <c r="X13" s="324">
        <v>-3657</v>
      </c>
      <c r="Y13" s="314">
        <f aca="true" t="shared" si="0" ref="Y13:Y35">U13+V13+W13+X13</f>
        <v>-12022</v>
      </c>
      <c r="AA13" s="453">
        <v>-2504</v>
      </c>
    </row>
    <row r="14" spans="1:27" s="275" customFormat="1" ht="12" customHeight="1">
      <c r="A14" s="326" t="s">
        <v>58</v>
      </c>
      <c r="B14" s="199"/>
      <c r="C14" s="311">
        <f>C10+C13</f>
        <v>978</v>
      </c>
      <c r="D14" s="312">
        <f>D10+D13</f>
        <v>1022</v>
      </c>
      <c r="E14" s="312">
        <f>E10+E13</f>
        <v>1102</v>
      </c>
      <c r="F14" s="312">
        <f>F10+F13</f>
        <v>1266</v>
      </c>
      <c r="G14" s="312">
        <f>G10+G13</f>
        <v>4368</v>
      </c>
      <c r="H14" s="199"/>
      <c r="I14" s="311">
        <f>I10+I13</f>
        <v>1035</v>
      </c>
      <c r="J14" s="312">
        <f>J10+J13</f>
        <v>1275</v>
      </c>
      <c r="K14" s="312">
        <f>K10+K13</f>
        <v>861</v>
      </c>
      <c r="L14" s="312">
        <f>L10+L13</f>
        <v>959</v>
      </c>
      <c r="M14" s="312">
        <f>M10+M13</f>
        <v>4130</v>
      </c>
      <c r="N14" s="313"/>
      <c r="O14" s="311">
        <f>O10+O13</f>
        <v>624</v>
      </c>
      <c r="P14" s="312">
        <f>P10+P13</f>
        <v>776</v>
      </c>
      <c r="Q14" s="312">
        <f>Q10+Q13</f>
        <v>913</v>
      </c>
      <c r="R14" s="312">
        <f>R10+R13</f>
        <v>1169</v>
      </c>
      <c r="S14" s="314">
        <f>S10+S13</f>
        <v>3482</v>
      </c>
      <c r="U14" s="312">
        <f>U10+U13</f>
        <v>1241</v>
      </c>
      <c r="V14" s="312">
        <f>V10+V13</f>
        <v>889</v>
      </c>
      <c r="W14" s="312">
        <f>W10+W13</f>
        <v>938</v>
      </c>
      <c r="X14" s="312">
        <v>934</v>
      </c>
      <c r="Y14" s="314">
        <f t="shared" si="0"/>
        <v>4002</v>
      </c>
      <c r="AA14" s="454">
        <f>AA10+AA13</f>
        <v>702</v>
      </c>
    </row>
    <row r="15" spans="1:27" s="275" customFormat="1" ht="12" customHeight="1">
      <c r="A15" s="327" t="s">
        <v>161</v>
      </c>
      <c r="B15" s="4"/>
      <c r="C15" s="317">
        <v>-30</v>
      </c>
      <c r="D15" s="318">
        <v>-32</v>
      </c>
      <c r="E15" s="318">
        <v>-27</v>
      </c>
      <c r="F15" s="318">
        <v>-31</v>
      </c>
      <c r="G15" s="318">
        <v>-120</v>
      </c>
      <c r="H15" s="4"/>
      <c r="I15" s="317">
        <v>-31</v>
      </c>
      <c r="J15" s="318">
        <f>-58-I15</f>
        <v>-27</v>
      </c>
      <c r="K15" s="318">
        <f>-85-J15-I15</f>
        <v>-27</v>
      </c>
      <c r="L15" s="318">
        <f>M15-K15-J15-I15</f>
        <v>-30</v>
      </c>
      <c r="M15" s="318">
        <v>-115</v>
      </c>
      <c r="N15" s="319"/>
      <c r="O15" s="317">
        <v>-25</v>
      </c>
      <c r="P15" s="318">
        <f>-50-O15</f>
        <v>-25</v>
      </c>
      <c r="Q15" s="318">
        <f>-85-P15-O15</f>
        <v>-35</v>
      </c>
      <c r="R15" s="318">
        <f>S15-Q15-P15-O15</f>
        <v>-41</v>
      </c>
      <c r="S15" s="320">
        <v>-126</v>
      </c>
      <c r="U15" s="318">
        <v>-26</v>
      </c>
      <c r="V15" s="318">
        <v>-30</v>
      </c>
      <c r="W15" s="318">
        <v>-27</v>
      </c>
      <c r="X15" s="318">
        <v>-29</v>
      </c>
      <c r="Y15" s="320">
        <f t="shared" si="0"/>
        <v>-112</v>
      </c>
      <c r="AA15" s="453">
        <v>-24</v>
      </c>
    </row>
    <row r="16" spans="1:27" s="275" customFormat="1" ht="12" customHeight="1">
      <c r="A16" s="327" t="s">
        <v>18</v>
      </c>
      <c r="B16" s="4"/>
      <c r="C16" s="317">
        <v>-172</v>
      </c>
      <c r="D16" s="318">
        <v>-166</v>
      </c>
      <c r="E16" s="318">
        <v>-173</v>
      </c>
      <c r="F16" s="318">
        <v>-224</v>
      </c>
      <c r="G16" s="318">
        <v>-735</v>
      </c>
      <c r="H16" s="4"/>
      <c r="I16" s="317">
        <v>-135</v>
      </c>
      <c r="J16" s="318">
        <f>-317-I16</f>
        <v>-182</v>
      </c>
      <c r="K16" s="318">
        <f>-489-J16-I16</f>
        <v>-172</v>
      </c>
      <c r="L16" s="318">
        <f>M16-K16-J16-I16</f>
        <v>-242</v>
      </c>
      <c r="M16" s="318">
        <v>-731</v>
      </c>
      <c r="N16" s="319"/>
      <c r="O16" s="328">
        <v>-140</v>
      </c>
      <c r="P16" s="329">
        <f>-338-O16</f>
        <v>-198</v>
      </c>
      <c r="Q16" s="329">
        <f>-534-P16-O16</f>
        <v>-196</v>
      </c>
      <c r="R16" s="329">
        <f>S16-Q16-P16-O16</f>
        <v>-227</v>
      </c>
      <c r="S16" s="320">
        <v>-761</v>
      </c>
      <c r="U16" s="329">
        <v>-150</v>
      </c>
      <c r="V16" s="329">
        <v>-189</v>
      </c>
      <c r="W16" s="329">
        <v>-199</v>
      </c>
      <c r="X16" s="329">
        <v>-227</v>
      </c>
      <c r="Y16" s="320">
        <f t="shared" si="0"/>
        <v>-765</v>
      </c>
      <c r="AA16" s="454">
        <v>-158</v>
      </c>
    </row>
    <row r="17" spans="1:27" s="275" customFormat="1" ht="12" customHeight="1">
      <c r="A17" s="326" t="s">
        <v>162</v>
      </c>
      <c r="B17" s="199"/>
      <c r="C17" s="311">
        <f>C14+C15+C16</f>
        <v>776</v>
      </c>
      <c r="D17" s="312">
        <f>D14+D15+D16</f>
        <v>824</v>
      </c>
      <c r="E17" s="312">
        <f>E14+E15+E16</f>
        <v>902</v>
      </c>
      <c r="F17" s="312">
        <f>F14+F15+F16</f>
        <v>1011</v>
      </c>
      <c r="G17" s="312">
        <f>G14+G15+G16</f>
        <v>3513</v>
      </c>
      <c r="H17" s="199"/>
      <c r="I17" s="311">
        <f>I14+I15+I16</f>
        <v>869</v>
      </c>
      <c r="J17" s="312">
        <f>J14+J15+J16</f>
        <v>1066</v>
      </c>
      <c r="K17" s="312">
        <f>K14+K15+K16</f>
        <v>662</v>
      </c>
      <c r="L17" s="312">
        <f>L14+L15+L16</f>
        <v>687</v>
      </c>
      <c r="M17" s="312">
        <f>M14+M15+M16</f>
        <v>3284</v>
      </c>
      <c r="N17" s="313"/>
      <c r="O17" s="330">
        <f>O14+O15+O16</f>
        <v>459</v>
      </c>
      <c r="P17" s="331">
        <f>P14+P15+P16</f>
        <v>553</v>
      </c>
      <c r="Q17" s="331">
        <f>Q14+Q15+Q16</f>
        <v>682</v>
      </c>
      <c r="R17" s="331">
        <f>R14+R15+R16</f>
        <v>901</v>
      </c>
      <c r="S17" s="314">
        <f>S14+S15+S16</f>
        <v>2595</v>
      </c>
      <c r="U17" s="331">
        <f>U14+U15+U16</f>
        <v>1065</v>
      </c>
      <c r="V17" s="331">
        <f>V14+V15+V16</f>
        <v>670</v>
      </c>
      <c r="W17" s="331">
        <f>W14+W15+W16</f>
        <v>712</v>
      </c>
      <c r="X17" s="331">
        <v>678</v>
      </c>
      <c r="Y17" s="314">
        <f t="shared" si="0"/>
        <v>3125</v>
      </c>
      <c r="AA17" s="455">
        <f>AA14+AA15+AA16</f>
        <v>520</v>
      </c>
    </row>
    <row r="18" spans="1:27" s="315" customFormat="1" ht="12" customHeight="1">
      <c r="A18" s="322" t="s">
        <v>46</v>
      </c>
      <c r="B18" s="8"/>
      <c r="C18" s="311">
        <f>SUM(C19:C26)</f>
        <v>-58</v>
      </c>
      <c r="D18" s="312">
        <f>-54-C18</f>
        <v>4</v>
      </c>
      <c r="E18" s="312">
        <f>SUM(E21:E26)</f>
        <v>51</v>
      </c>
      <c r="F18" s="312">
        <f>SUM(F19:F26)</f>
        <v>35</v>
      </c>
      <c r="G18" s="312">
        <v>32</v>
      </c>
      <c r="H18" s="8"/>
      <c r="I18" s="311">
        <f>SUM(I19:I26)</f>
        <v>-79</v>
      </c>
      <c r="J18" s="312">
        <f>-12-I18</f>
        <v>67</v>
      </c>
      <c r="K18" s="312">
        <v>-95</v>
      </c>
      <c r="L18" s="312">
        <v>-4957</v>
      </c>
      <c r="M18" s="312">
        <v>-5064</v>
      </c>
      <c r="N18" s="313"/>
      <c r="O18" s="311">
        <v>-162</v>
      </c>
      <c r="P18" s="312">
        <f>161-O18</f>
        <v>323</v>
      </c>
      <c r="Q18" s="312">
        <v>-81</v>
      </c>
      <c r="R18" s="312">
        <v>-5509</v>
      </c>
      <c r="S18" s="314">
        <v>-5429</v>
      </c>
      <c r="U18" s="312">
        <f>U19+U21+U22+U24+U26</f>
        <v>-270</v>
      </c>
      <c r="V18" s="312">
        <f>V19+V21+V22+V24+V26</f>
        <v>-327</v>
      </c>
      <c r="W18" s="312">
        <f>W19+W21+W22+W24+W26</f>
        <v>-92</v>
      </c>
      <c r="X18" s="312">
        <v>-1315</v>
      </c>
      <c r="Y18" s="314">
        <f t="shared" si="0"/>
        <v>-2004</v>
      </c>
      <c r="AA18" s="456">
        <f>AA19+AA20+AA21+AA22+AA23+AA24+AA25+AA26</f>
        <v>83</v>
      </c>
    </row>
    <row r="19" spans="1:27" s="275" customFormat="1" ht="12" customHeight="1">
      <c r="A19" s="316" t="s">
        <v>163</v>
      </c>
      <c r="B19" s="4"/>
      <c r="C19" s="332" t="s">
        <v>38</v>
      </c>
      <c r="D19" s="333" t="s">
        <v>38</v>
      </c>
      <c r="E19" s="333" t="s">
        <v>38</v>
      </c>
      <c r="F19" s="334">
        <v>-32</v>
      </c>
      <c r="G19" s="334">
        <v>-32</v>
      </c>
      <c r="H19" s="4"/>
      <c r="I19" s="332" t="s">
        <v>38</v>
      </c>
      <c r="J19" s="333" t="s">
        <v>38</v>
      </c>
      <c r="K19" s="334">
        <v>-194</v>
      </c>
      <c r="L19" s="334">
        <v>-5074</v>
      </c>
      <c r="M19" s="334">
        <v>-5268</v>
      </c>
      <c r="N19" s="319"/>
      <c r="O19" s="317">
        <v>-57</v>
      </c>
      <c r="P19" s="318">
        <v>0</v>
      </c>
      <c r="Q19" s="318">
        <v>0</v>
      </c>
      <c r="R19" s="318">
        <v>-6140</v>
      </c>
      <c r="S19" s="320">
        <f>SUM(O19:R19)</f>
        <v>-6197</v>
      </c>
      <c r="U19" s="318">
        <v>0</v>
      </c>
      <c r="V19" s="318">
        <v>0</v>
      </c>
      <c r="W19" s="318">
        <v>0</v>
      </c>
      <c r="X19" s="318">
        <v>-936</v>
      </c>
      <c r="Y19" s="320">
        <f t="shared" si="0"/>
        <v>-936</v>
      </c>
      <c r="AA19" s="454">
        <v>0</v>
      </c>
    </row>
    <row r="20" spans="1:27" s="275" customFormat="1" ht="41.25" customHeight="1">
      <c r="A20" s="316" t="s">
        <v>229</v>
      </c>
      <c r="B20" s="4"/>
      <c r="C20" s="332" t="s">
        <v>225</v>
      </c>
      <c r="D20" s="333" t="s">
        <v>225</v>
      </c>
      <c r="E20" s="333" t="s">
        <v>225</v>
      </c>
      <c r="F20" s="334" t="s">
        <v>225</v>
      </c>
      <c r="G20" s="334" t="s">
        <v>225</v>
      </c>
      <c r="H20" s="4"/>
      <c r="I20" s="332" t="s">
        <v>225</v>
      </c>
      <c r="J20" s="333" t="s">
        <v>225</v>
      </c>
      <c r="K20" s="334" t="s">
        <v>225</v>
      </c>
      <c r="L20" s="334" t="s">
        <v>225</v>
      </c>
      <c r="M20" s="334" t="s">
        <v>225</v>
      </c>
      <c r="N20" s="319"/>
      <c r="O20" s="317" t="s">
        <v>225</v>
      </c>
      <c r="P20" s="318" t="s">
        <v>225</v>
      </c>
      <c r="Q20" s="318" t="s">
        <v>225</v>
      </c>
      <c r="R20" s="318" t="s">
        <v>225</v>
      </c>
      <c r="S20" s="320" t="s">
        <v>225</v>
      </c>
      <c r="U20" s="318" t="s">
        <v>225</v>
      </c>
      <c r="V20" s="318" t="s">
        <v>225</v>
      </c>
      <c r="W20" s="318" t="s">
        <v>225</v>
      </c>
      <c r="X20" s="318" t="s">
        <v>225</v>
      </c>
      <c r="Y20" s="320" t="s">
        <v>225</v>
      </c>
      <c r="AA20" s="454">
        <v>49</v>
      </c>
    </row>
    <row r="21" spans="1:27" s="275" customFormat="1" ht="22.5" customHeight="1">
      <c r="A21" s="316" t="s">
        <v>164</v>
      </c>
      <c r="B21" s="4"/>
      <c r="C21" s="328">
        <v>-1</v>
      </c>
      <c r="D21" s="329">
        <v>-4</v>
      </c>
      <c r="E21" s="329">
        <v>63</v>
      </c>
      <c r="F21" s="329">
        <v>99</v>
      </c>
      <c r="G21" s="329">
        <v>157</v>
      </c>
      <c r="H21" s="4"/>
      <c r="I21" s="328">
        <v>148</v>
      </c>
      <c r="J21" s="329">
        <v>-96</v>
      </c>
      <c r="K21" s="329">
        <v>8</v>
      </c>
      <c r="L21" s="329">
        <v>99</v>
      </c>
      <c r="M21" s="329">
        <v>159</v>
      </c>
      <c r="N21" s="319"/>
      <c r="O21" s="317">
        <v>-306</v>
      </c>
      <c r="P21" s="318">
        <v>399</v>
      </c>
      <c r="Q21" s="318">
        <v>-256</v>
      </c>
      <c r="R21" s="318">
        <v>645</v>
      </c>
      <c r="S21" s="320">
        <f>SUM(O21:R21)</f>
        <v>482</v>
      </c>
      <c r="U21" s="318">
        <v>-425</v>
      </c>
      <c r="V21" s="318">
        <v>-410</v>
      </c>
      <c r="W21" s="318">
        <v>-64</v>
      </c>
      <c r="X21" s="318">
        <v>-280</v>
      </c>
      <c r="Y21" s="320">
        <f t="shared" si="0"/>
        <v>-1179</v>
      </c>
      <c r="AA21" s="454">
        <v>-124</v>
      </c>
    </row>
    <row r="22" spans="1:27" s="275" customFormat="1" ht="12" customHeight="1">
      <c r="A22" s="316" t="s">
        <v>165</v>
      </c>
      <c r="B22" s="4"/>
      <c r="C22" s="328">
        <v>5</v>
      </c>
      <c r="D22" s="329">
        <v>11</v>
      </c>
      <c r="E22" s="329">
        <v>11</v>
      </c>
      <c r="F22" s="329">
        <v>21</v>
      </c>
      <c r="G22" s="329">
        <v>48</v>
      </c>
      <c r="H22" s="4"/>
      <c r="I22" s="328">
        <v>33</v>
      </c>
      <c r="J22" s="329">
        <v>46</v>
      </c>
      <c r="K22" s="329">
        <v>65</v>
      </c>
      <c r="L22" s="329">
        <v>82</v>
      </c>
      <c r="M22" s="329">
        <v>226</v>
      </c>
      <c r="N22" s="319"/>
      <c r="O22" s="317">
        <v>79</v>
      </c>
      <c r="P22" s="318">
        <v>91</v>
      </c>
      <c r="Q22" s="318">
        <v>84</v>
      </c>
      <c r="R22" s="318">
        <v>122</v>
      </c>
      <c r="S22" s="320">
        <f>SUM(O22:R22)</f>
        <v>376</v>
      </c>
      <c r="U22" s="318">
        <v>96</v>
      </c>
      <c r="V22" s="318">
        <v>85</v>
      </c>
      <c r="W22" s="318">
        <v>64</v>
      </c>
      <c r="X22" s="318">
        <v>55</v>
      </c>
      <c r="Y22" s="320">
        <f t="shared" si="0"/>
        <v>300</v>
      </c>
      <c r="AA22" s="453">
        <v>0</v>
      </c>
    </row>
    <row r="23" spans="1:27" s="275" customFormat="1" ht="12" customHeight="1">
      <c r="A23" s="316" t="s">
        <v>226</v>
      </c>
      <c r="B23" s="4"/>
      <c r="C23" s="328">
        <v>0</v>
      </c>
      <c r="D23" s="329">
        <v>0</v>
      </c>
      <c r="E23" s="329">
        <v>0</v>
      </c>
      <c r="F23" s="329">
        <v>0</v>
      </c>
      <c r="G23" s="329">
        <v>0</v>
      </c>
      <c r="H23" s="4"/>
      <c r="I23" s="328">
        <v>0</v>
      </c>
      <c r="J23" s="329">
        <v>0</v>
      </c>
      <c r="K23" s="329">
        <v>0</v>
      </c>
      <c r="L23" s="329">
        <v>0</v>
      </c>
      <c r="M23" s="329">
        <v>0</v>
      </c>
      <c r="N23" s="319"/>
      <c r="O23" s="317">
        <v>0</v>
      </c>
      <c r="P23" s="318">
        <v>0</v>
      </c>
      <c r="Q23" s="318">
        <v>0</v>
      </c>
      <c r="R23" s="318">
        <v>0</v>
      </c>
      <c r="S23" s="320">
        <v>0</v>
      </c>
      <c r="U23" s="318">
        <v>0</v>
      </c>
      <c r="V23" s="318">
        <v>0</v>
      </c>
      <c r="W23" s="318">
        <v>0</v>
      </c>
      <c r="X23" s="318">
        <v>0</v>
      </c>
      <c r="Y23" s="320">
        <f t="shared" si="0"/>
        <v>0</v>
      </c>
      <c r="AA23" s="453">
        <v>57</v>
      </c>
    </row>
    <row r="24" spans="1:27" s="275" customFormat="1" ht="12" customHeight="1">
      <c r="A24" s="316" t="s">
        <v>30</v>
      </c>
      <c r="B24" s="4"/>
      <c r="C24" s="328">
        <v>-70</v>
      </c>
      <c r="D24" s="329">
        <v>-34</v>
      </c>
      <c r="E24" s="329">
        <v>-5</v>
      </c>
      <c r="F24" s="329">
        <v>-70</v>
      </c>
      <c r="G24" s="329">
        <v>-179</v>
      </c>
      <c r="H24" s="4"/>
      <c r="I24" s="328">
        <v>-252</v>
      </c>
      <c r="J24" s="329">
        <v>59</v>
      </c>
      <c r="K24" s="329">
        <v>27</v>
      </c>
      <c r="L24" s="329">
        <v>-36</v>
      </c>
      <c r="M24" s="329">
        <v>-202</v>
      </c>
      <c r="N24" s="319"/>
      <c r="O24" s="317">
        <v>130</v>
      </c>
      <c r="P24" s="318">
        <v>-186</v>
      </c>
      <c r="Q24" s="318">
        <v>82</v>
      </c>
      <c r="R24" s="318">
        <v>-102</v>
      </c>
      <c r="S24" s="320">
        <f>SUM(O24:R24)</f>
        <v>-76</v>
      </c>
      <c r="U24" s="318">
        <v>70</v>
      </c>
      <c r="V24" s="318">
        <v>-2</v>
      </c>
      <c r="W24" s="318">
        <v>-110</v>
      </c>
      <c r="X24" s="318">
        <v>-171</v>
      </c>
      <c r="Y24" s="320">
        <f t="shared" si="0"/>
        <v>-213</v>
      </c>
      <c r="AA24" s="453">
        <v>-22</v>
      </c>
    </row>
    <row r="25" spans="1:27" s="275" customFormat="1" ht="22.5" customHeight="1">
      <c r="A25" s="316" t="s">
        <v>230</v>
      </c>
      <c r="B25" s="4"/>
      <c r="C25" s="328" t="s">
        <v>225</v>
      </c>
      <c r="D25" s="329" t="s">
        <v>225</v>
      </c>
      <c r="E25" s="329" t="s">
        <v>225</v>
      </c>
      <c r="F25" s="329" t="s">
        <v>225</v>
      </c>
      <c r="G25" s="329" t="s">
        <v>225</v>
      </c>
      <c r="H25" s="4"/>
      <c r="I25" s="328" t="s">
        <v>225</v>
      </c>
      <c r="J25" s="329" t="s">
        <v>225</v>
      </c>
      <c r="K25" s="329" t="s">
        <v>225</v>
      </c>
      <c r="L25" s="329" t="s">
        <v>225</v>
      </c>
      <c r="M25" s="329" t="s">
        <v>225</v>
      </c>
      <c r="N25" s="319"/>
      <c r="O25" s="317" t="s">
        <v>225</v>
      </c>
      <c r="P25" s="318" t="s">
        <v>225</v>
      </c>
      <c r="Q25" s="318" t="s">
        <v>225</v>
      </c>
      <c r="R25" s="318" t="s">
        <v>225</v>
      </c>
      <c r="S25" s="320" t="s">
        <v>225</v>
      </c>
      <c r="U25" s="318" t="s">
        <v>225</v>
      </c>
      <c r="V25" s="318" t="s">
        <v>225</v>
      </c>
      <c r="W25" s="318" t="s">
        <v>225</v>
      </c>
      <c r="X25" s="318" t="s">
        <v>225</v>
      </c>
      <c r="Y25" s="320" t="s">
        <v>225</v>
      </c>
      <c r="AA25" s="453">
        <v>113</v>
      </c>
    </row>
    <row r="26" spans="1:27" s="275" customFormat="1" ht="12" customHeight="1">
      <c r="A26" s="316" t="s">
        <v>166</v>
      </c>
      <c r="B26" s="4"/>
      <c r="C26" s="328">
        <v>8</v>
      </c>
      <c r="D26" s="329">
        <v>31</v>
      </c>
      <c r="E26" s="329">
        <v>-18</v>
      </c>
      <c r="F26" s="329">
        <v>17</v>
      </c>
      <c r="G26" s="329">
        <v>38</v>
      </c>
      <c r="H26" s="4"/>
      <c r="I26" s="328">
        <v>-8</v>
      </c>
      <c r="J26" s="329">
        <v>58</v>
      </c>
      <c r="K26" s="329">
        <v>-1</v>
      </c>
      <c r="L26" s="329">
        <v>-28</v>
      </c>
      <c r="M26" s="329">
        <v>21</v>
      </c>
      <c r="N26" s="319"/>
      <c r="O26" s="317">
        <v>-8</v>
      </c>
      <c r="P26" s="318">
        <v>19</v>
      </c>
      <c r="Q26" s="318">
        <v>9</v>
      </c>
      <c r="R26" s="318">
        <v>-34</v>
      </c>
      <c r="S26" s="320">
        <f>SUM(O26:R26)</f>
        <v>-14</v>
      </c>
      <c r="U26" s="318">
        <v>-11</v>
      </c>
      <c r="V26" s="318">
        <v>0</v>
      </c>
      <c r="W26" s="318">
        <v>18</v>
      </c>
      <c r="X26" s="318">
        <v>17</v>
      </c>
      <c r="Y26" s="320">
        <f t="shared" si="0"/>
        <v>24</v>
      </c>
      <c r="AA26" s="453">
        <f>175-49-3-113</f>
        <v>10</v>
      </c>
    </row>
    <row r="27" spans="1:27" s="315" customFormat="1" ht="12" customHeight="1">
      <c r="A27" s="322" t="s">
        <v>43</v>
      </c>
      <c r="B27" s="8"/>
      <c r="C27" s="311">
        <v>-6</v>
      </c>
      <c r="D27" s="312">
        <f>-15-C27</f>
        <v>-9</v>
      </c>
      <c r="E27" s="312">
        <v>-81</v>
      </c>
      <c r="F27" s="312">
        <f>G27+96</f>
        <v>-87</v>
      </c>
      <c r="G27" s="312">
        <v>-183</v>
      </c>
      <c r="H27" s="8"/>
      <c r="I27" s="311">
        <v>-85</v>
      </c>
      <c r="J27" s="312">
        <f>-42-I27</f>
        <v>43</v>
      </c>
      <c r="K27" s="312">
        <v>-46</v>
      </c>
      <c r="L27" s="312">
        <v>-70</v>
      </c>
      <c r="M27" s="312">
        <f>SUM(I27:L27)</f>
        <v>-158</v>
      </c>
      <c r="N27" s="313"/>
      <c r="O27" s="323">
        <v>235</v>
      </c>
      <c r="P27" s="324">
        <f>-141-O27</f>
        <v>-376</v>
      </c>
      <c r="Q27" s="324">
        <v>199</v>
      </c>
      <c r="R27" s="324">
        <v>-599</v>
      </c>
      <c r="S27" s="314">
        <v>-541</v>
      </c>
      <c r="U27" s="324">
        <f>U28+U29+U30+U31+U32</f>
        <v>309</v>
      </c>
      <c r="V27" s="324">
        <f>V28+V29+V30+V31+V32</f>
        <v>382</v>
      </c>
      <c r="W27" s="324">
        <f>W28+W29+W30+W31+W32</f>
        <v>53</v>
      </c>
      <c r="X27" s="324">
        <v>289</v>
      </c>
      <c r="Y27" s="314">
        <f t="shared" si="0"/>
        <v>1033</v>
      </c>
      <c r="AA27" s="456">
        <f>AA28+AA29+AA30+AA31+AA32</f>
        <v>124</v>
      </c>
    </row>
    <row r="28" spans="1:27" s="275" customFormat="1" ht="12" customHeight="1">
      <c r="A28" s="316" t="s">
        <v>167</v>
      </c>
      <c r="B28" s="4"/>
      <c r="C28" s="332">
        <v>5</v>
      </c>
      <c r="D28" s="333">
        <v>3</v>
      </c>
      <c r="E28" s="334">
        <v>-69</v>
      </c>
      <c r="F28" s="334">
        <v>-63</v>
      </c>
      <c r="G28" s="334">
        <v>-124</v>
      </c>
      <c r="H28" s="4"/>
      <c r="I28" s="335">
        <v>-62</v>
      </c>
      <c r="J28" s="334">
        <v>74</v>
      </c>
      <c r="K28" s="334">
        <v>3</v>
      </c>
      <c r="L28" s="334">
        <v>-44</v>
      </c>
      <c r="M28" s="334">
        <v>-29</v>
      </c>
      <c r="N28" s="319"/>
      <c r="O28" s="317">
        <v>276</v>
      </c>
      <c r="P28" s="318">
        <v>-344</v>
      </c>
      <c r="Q28" s="318">
        <v>246</v>
      </c>
      <c r="R28" s="318">
        <v>-576</v>
      </c>
      <c r="S28" s="320">
        <f>SUM(O28:R28)</f>
        <v>-398</v>
      </c>
      <c r="U28" s="318">
        <v>369</v>
      </c>
      <c r="V28" s="318">
        <v>443</v>
      </c>
      <c r="W28" s="318">
        <v>101</v>
      </c>
      <c r="X28" s="318">
        <v>334</v>
      </c>
      <c r="Y28" s="320">
        <f t="shared" si="0"/>
        <v>1247</v>
      </c>
      <c r="AA28" s="454">
        <v>150</v>
      </c>
    </row>
    <row r="29" spans="1:27" s="275" customFormat="1" ht="12" customHeight="1">
      <c r="A29" s="316" t="s">
        <v>33</v>
      </c>
      <c r="B29" s="4"/>
      <c r="C29" s="328">
        <v>-2</v>
      </c>
      <c r="D29" s="329">
        <v>-1</v>
      </c>
      <c r="E29" s="329">
        <v>-2</v>
      </c>
      <c r="F29" s="329">
        <v>-3</v>
      </c>
      <c r="G29" s="329">
        <v>-8</v>
      </c>
      <c r="H29" s="4"/>
      <c r="I29" s="328">
        <v>-3</v>
      </c>
      <c r="J29" s="329">
        <v>-8</v>
      </c>
      <c r="K29" s="329">
        <v>-9</v>
      </c>
      <c r="L29" s="329">
        <v>-11</v>
      </c>
      <c r="M29" s="329">
        <v>-31</v>
      </c>
      <c r="N29" s="319"/>
      <c r="O29" s="317">
        <v>-12</v>
      </c>
      <c r="P29" s="318">
        <v>-15</v>
      </c>
      <c r="Q29" s="318">
        <v>-16</v>
      </c>
      <c r="R29" s="318">
        <v>-33</v>
      </c>
      <c r="S29" s="320">
        <f>SUM(O29:R29)</f>
        <v>-76</v>
      </c>
      <c r="U29" s="318">
        <v>-29</v>
      </c>
      <c r="V29" s="318">
        <v>-29</v>
      </c>
      <c r="W29" s="318">
        <v>-28</v>
      </c>
      <c r="X29" s="318">
        <v>-27</v>
      </c>
      <c r="Y29" s="320">
        <f t="shared" si="0"/>
        <v>-113</v>
      </c>
      <c r="AA29" s="453">
        <v>-24</v>
      </c>
    </row>
    <row r="30" spans="1:27" s="275" customFormat="1" ht="12" customHeight="1">
      <c r="A30" s="316" t="s">
        <v>168</v>
      </c>
      <c r="B30" s="79"/>
      <c r="C30" s="336" t="s">
        <v>38</v>
      </c>
      <c r="D30" s="337">
        <v>-1</v>
      </c>
      <c r="E30" s="337" t="s">
        <v>38</v>
      </c>
      <c r="F30" s="337">
        <v>-13</v>
      </c>
      <c r="G30" s="338">
        <v>-14</v>
      </c>
      <c r="H30" s="4"/>
      <c r="I30" s="328">
        <v>-11</v>
      </c>
      <c r="J30" s="329">
        <v>-11</v>
      </c>
      <c r="K30" s="329">
        <v>-19</v>
      </c>
      <c r="L30" s="329">
        <v>-7</v>
      </c>
      <c r="M30" s="329">
        <v>-48</v>
      </c>
      <c r="N30" s="319"/>
      <c r="O30" s="317">
        <v>-10</v>
      </c>
      <c r="P30" s="318">
        <v>-7</v>
      </c>
      <c r="Q30" s="318">
        <v>-20</v>
      </c>
      <c r="R30" s="318">
        <v>-8</v>
      </c>
      <c r="S30" s="320">
        <f>SUM(O30:R30)</f>
        <v>-45</v>
      </c>
      <c r="U30" s="318">
        <v>-7</v>
      </c>
      <c r="V30" s="318">
        <v>-7</v>
      </c>
      <c r="W30" s="318">
        <v>-6</v>
      </c>
      <c r="X30" s="318">
        <v>-8</v>
      </c>
      <c r="Y30" s="320">
        <f t="shared" si="0"/>
        <v>-28</v>
      </c>
      <c r="AA30" s="455">
        <v>-6</v>
      </c>
    </row>
    <row r="31" spans="1:27" s="275" customFormat="1" ht="12" customHeight="1">
      <c r="A31" s="316" t="s">
        <v>32</v>
      </c>
      <c r="B31" s="4"/>
      <c r="C31" s="339" t="s">
        <v>38</v>
      </c>
      <c r="D31" s="340" t="s">
        <v>38</v>
      </c>
      <c r="E31" s="340" t="s">
        <v>38</v>
      </c>
      <c r="F31" s="340" t="s">
        <v>38</v>
      </c>
      <c r="G31" s="329">
        <v>0</v>
      </c>
      <c r="H31" s="4"/>
      <c r="I31" s="339">
        <v>0</v>
      </c>
      <c r="J31" s="329">
        <v>-2</v>
      </c>
      <c r="K31" s="329">
        <v>-11</v>
      </c>
      <c r="L31" s="329">
        <v>1</v>
      </c>
      <c r="M31" s="329">
        <v>-12</v>
      </c>
      <c r="N31" s="319"/>
      <c r="O31" s="317">
        <v>-8</v>
      </c>
      <c r="P31" s="318">
        <v>-2</v>
      </c>
      <c r="Q31" s="318">
        <v>-1</v>
      </c>
      <c r="R31" s="318">
        <v>28</v>
      </c>
      <c r="S31" s="320">
        <f>SUM(O31:R31)</f>
        <v>17</v>
      </c>
      <c r="U31" s="318">
        <v>-13</v>
      </c>
      <c r="V31" s="318">
        <v>-14</v>
      </c>
      <c r="W31" s="318">
        <v>-3</v>
      </c>
      <c r="X31" s="318">
        <v>0</v>
      </c>
      <c r="Y31" s="320">
        <f t="shared" si="0"/>
        <v>-30</v>
      </c>
      <c r="AA31" s="453">
        <v>15</v>
      </c>
    </row>
    <row r="32" spans="1:27" s="275" customFormat="1" ht="12" customHeight="1">
      <c r="A32" s="316" t="s">
        <v>169</v>
      </c>
      <c r="B32" s="4"/>
      <c r="C32" s="335">
        <v>-9</v>
      </c>
      <c r="D32" s="334">
        <v>-10</v>
      </c>
      <c r="E32" s="334">
        <v>-10</v>
      </c>
      <c r="F32" s="334">
        <v>-8</v>
      </c>
      <c r="G32" s="334">
        <v>-37</v>
      </c>
      <c r="H32" s="4"/>
      <c r="I32" s="335">
        <v>-9</v>
      </c>
      <c r="J32" s="334">
        <v>-10</v>
      </c>
      <c r="K32" s="334">
        <v>-10</v>
      </c>
      <c r="L32" s="334">
        <v>-9</v>
      </c>
      <c r="M32" s="334">
        <v>-38</v>
      </c>
      <c r="N32" s="319"/>
      <c r="O32" s="317">
        <v>-11</v>
      </c>
      <c r="P32" s="318">
        <v>-8</v>
      </c>
      <c r="Q32" s="318">
        <v>-10</v>
      </c>
      <c r="R32" s="318">
        <v>-10</v>
      </c>
      <c r="S32" s="320">
        <f>SUM(O32:R32)</f>
        <v>-39</v>
      </c>
      <c r="U32" s="318">
        <v>-11</v>
      </c>
      <c r="V32" s="318">
        <v>-11</v>
      </c>
      <c r="W32" s="318">
        <v>-11</v>
      </c>
      <c r="X32" s="318">
        <v>-10</v>
      </c>
      <c r="Y32" s="320">
        <f t="shared" si="0"/>
        <v>-43</v>
      </c>
      <c r="AA32" s="453">
        <v>-11</v>
      </c>
    </row>
    <row r="33" spans="1:27" s="275" customFormat="1" ht="12" customHeight="1">
      <c r="A33" s="326" t="s">
        <v>70</v>
      </c>
      <c r="B33" s="199"/>
      <c r="C33" s="311">
        <f>C17+C18+C27</f>
        <v>712</v>
      </c>
      <c r="D33" s="312">
        <f>D17+D18+D27</f>
        <v>819</v>
      </c>
      <c r="E33" s="312">
        <f>E17+E18+E27</f>
        <v>872</v>
      </c>
      <c r="F33" s="312">
        <f>F17+F18+F27</f>
        <v>959</v>
      </c>
      <c r="G33" s="312">
        <f>G17+G18+G27</f>
        <v>3362</v>
      </c>
      <c r="H33" s="199"/>
      <c r="I33" s="311">
        <f>I17+I18+I27</f>
        <v>705</v>
      </c>
      <c r="J33" s="312">
        <f>J17+J18+J27</f>
        <v>1176</v>
      </c>
      <c r="K33" s="312">
        <f>K17+K18+K27</f>
        <v>521</v>
      </c>
      <c r="L33" s="312">
        <f>L17+L18+L27</f>
        <v>-4340</v>
      </c>
      <c r="M33" s="312">
        <f>M17+M18+M27</f>
        <v>-1938</v>
      </c>
      <c r="N33" s="313"/>
      <c r="O33" s="311">
        <f>O17+O18+O27</f>
        <v>532</v>
      </c>
      <c r="P33" s="312">
        <f>P17+P18+P27</f>
        <v>500</v>
      </c>
      <c r="Q33" s="312">
        <f>Q17+Q18+Q27</f>
        <v>800</v>
      </c>
      <c r="R33" s="312">
        <f>R17+R18+R27</f>
        <v>-5207</v>
      </c>
      <c r="S33" s="314">
        <f>S27+S18+S17</f>
        <v>-3375</v>
      </c>
      <c r="U33" s="312">
        <f>U17+U18+U27</f>
        <v>1104</v>
      </c>
      <c r="V33" s="312">
        <f>V17+V18+V27</f>
        <v>725</v>
      </c>
      <c r="W33" s="312">
        <f>W17+W18+W27</f>
        <v>673</v>
      </c>
      <c r="X33" s="312">
        <v>-348</v>
      </c>
      <c r="Y33" s="314">
        <f t="shared" si="0"/>
        <v>2154</v>
      </c>
      <c r="AA33" s="456">
        <f>AA17+AA18+AA27</f>
        <v>727</v>
      </c>
    </row>
    <row r="34" spans="1:27" s="275" customFormat="1" ht="12" customHeight="1">
      <c r="A34" s="327" t="s">
        <v>2</v>
      </c>
      <c r="B34" s="4"/>
      <c r="C34" s="317">
        <v>-205</v>
      </c>
      <c r="D34" s="318">
        <v>-207</v>
      </c>
      <c r="E34" s="318">
        <v>-243</v>
      </c>
      <c r="F34" s="318">
        <v>-293</v>
      </c>
      <c r="G34" s="318">
        <v>-948</v>
      </c>
      <c r="H34" s="4"/>
      <c r="I34" s="317">
        <v>-208</v>
      </c>
      <c r="J34" s="318">
        <v>-352</v>
      </c>
      <c r="K34" s="318">
        <v>-167</v>
      </c>
      <c r="L34" s="318">
        <v>-123</v>
      </c>
      <c r="M34" s="318">
        <v>-850</v>
      </c>
      <c r="N34" s="319"/>
      <c r="O34" s="317">
        <v>-162</v>
      </c>
      <c r="P34" s="318">
        <v>-202</v>
      </c>
      <c r="Q34" s="318">
        <v>-186</v>
      </c>
      <c r="R34" s="318">
        <v>-160</v>
      </c>
      <c r="S34" s="320">
        <v>-710</v>
      </c>
      <c r="U34" s="318">
        <v>-299</v>
      </c>
      <c r="V34" s="318">
        <v>-220</v>
      </c>
      <c r="W34" s="318">
        <v>-133</v>
      </c>
      <c r="X34" s="318">
        <v>-179</v>
      </c>
      <c r="Y34" s="320">
        <f t="shared" si="0"/>
        <v>-831</v>
      </c>
      <c r="AA34" s="457">
        <v>-197</v>
      </c>
    </row>
    <row r="35" spans="1:27" s="275" customFormat="1" ht="12" customHeight="1">
      <c r="A35" s="341" t="s">
        <v>170</v>
      </c>
      <c r="B35" s="342"/>
      <c r="C35" s="323">
        <f>C33+C34</f>
        <v>507</v>
      </c>
      <c r="D35" s="324">
        <f>D33+D34</f>
        <v>612</v>
      </c>
      <c r="E35" s="324">
        <f>E33+E34</f>
        <v>629</v>
      </c>
      <c r="F35" s="324">
        <f>F33+F34</f>
        <v>666</v>
      </c>
      <c r="G35" s="324">
        <f>G33+G34</f>
        <v>2414</v>
      </c>
      <c r="H35" s="342"/>
      <c r="I35" s="323">
        <f>I33+I34</f>
        <v>497</v>
      </c>
      <c r="J35" s="324">
        <f>J33+J34</f>
        <v>824</v>
      </c>
      <c r="K35" s="324">
        <f>K33+K34</f>
        <v>354</v>
      </c>
      <c r="L35" s="324">
        <f>L33+L34</f>
        <v>-4463</v>
      </c>
      <c r="M35" s="324">
        <f>M33+M34</f>
        <v>-2788</v>
      </c>
      <c r="N35" s="313"/>
      <c r="O35" s="323">
        <f>O33+O34</f>
        <v>370</v>
      </c>
      <c r="P35" s="324">
        <f>P33+P34</f>
        <v>298</v>
      </c>
      <c r="Q35" s="324">
        <f>Q33+Q34</f>
        <v>614</v>
      </c>
      <c r="R35" s="324">
        <f>R33+R34</f>
        <v>-5367</v>
      </c>
      <c r="S35" s="314">
        <f>S33+S34</f>
        <v>-4085</v>
      </c>
      <c r="U35" s="539">
        <f>U33+U34</f>
        <v>805</v>
      </c>
      <c r="V35" s="539">
        <f>V33+V34</f>
        <v>505</v>
      </c>
      <c r="W35" s="539">
        <f>W33+W34</f>
        <v>540</v>
      </c>
      <c r="X35" s="539">
        <v>-527</v>
      </c>
      <c r="Y35" s="314">
        <f t="shared" si="0"/>
        <v>1323</v>
      </c>
      <c r="AA35" s="458">
        <f>AA33+AA34</f>
        <v>530</v>
      </c>
    </row>
    <row r="36" spans="1:27" s="275" customFormat="1" ht="12" customHeight="1">
      <c r="A36" s="87"/>
      <c r="B36" s="86"/>
      <c r="C36" s="343"/>
      <c r="D36" s="344"/>
      <c r="E36" s="344"/>
      <c r="F36" s="344"/>
      <c r="G36" s="344"/>
      <c r="H36" s="4"/>
      <c r="I36" s="343"/>
      <c r="J36" s="344"/>
      <c r="K36" s="344"/>
      <c r="L36" s="344"/>
      <c r="M36" s="344"/>
      <c r="N36" s="345"/>
      <c r="O36" s="346"/>
      <c r="P36" s="345"/>
      <c r="Q36" s="345"/>
      <c r="R36" s="345"/>
      <c r="S36" s="347"/>
      <c r="U36" s="345"/>
      <c r="V36" s="345"/>
      <c r="W36" s="345"/>
      <c r="X36" s="345"/>
      <c r="Y36" s="347"/>
      <c r="AA36" s="459"/>
    </row>
    <row r="37" spans="1:27" s="275" customFormat="1" ht="12" customHeight="1">
      <c r="A37" s="348" t="s">
        <v>171</v>
      </c>
      <c r="B37" s="349"/>
      <c r="C37" s="350">
        <v>206</v>
      </c>
      <c r="D37" s="351">
        <v>213</v>
      </c>
      <c r="E37" s="351">
        <v>210</v>
      </c>
      <c r="F37" s="351">
        <v>189</v>
      </c>
      <c r="G37" s="351">
        <v>818</v>
      </c>
      <c r="H37" s="327"/>
      <c r="I37" s="350">
        <v>226</v>
      </c>
      <c r="J37" s="351">
        <v>203</v>
      </c>
      <c r="K37" s="351">
        <v>226</v>
      </c>
      <c r="L37" s="351">
        <v>220</v>
      </c>
      <c r="M37" s="351">
        <v>875</v>
      </c>
      <c r="N37" s="313"/>
      <c r="O37" s="352">
        <v>214</v>
      </c>
      <c r="P37" s="353">
        <v>237</v>
      </c>
      <c r="Q37" s="353">
        <v>249</v>
      </c>
      <c r="R37" s="353">
        <v>256</v>
      </c>
      <c r="S37" s="320">
        <v>956</v>
      </c>
      <c r="U37" s="353">
        <v>239</v>
      </c>
      <c r="V37" s="353">
        <v>257</v>
      </c>
      <c r="W37" s="353">
        <v>256</v>
      </c>
      <c r="X37" s="353">
        <v>283</v>
      </c>
      <c r="Y37" s="320">
        <v>1035</v>
      </c>
      <c r="Z37" s="460"/>
      <c r="AA37" s="452">
        <v>251</v>
      </c>
    </row>
    <row r="38" spans="1:27" s="275" customFormat="1" ht="12" customHeight="1">
      <c r="A38" s="348" t="s">
        <v>172</v>
      </c>
      <c r="B38" s="349"/>
      <c r="C38" s="350">
        <v>982</v>
      </c>
      <c r="D38" s="351">
        <v>1037</v>
      </c>
      <c r="E38" s="351">
        <v>1112</v>
      </c>
      <c r="F38" s="351">
        <v>1200</v>
      </c>
      <c r="G38" s="351">
        <v>4331</v>
      </c>
      <c r="H38" s="327"/>
      <c r="I38" s="350">
        <v>1095</v>
      </c>
      <c r="J38" s="351">
        <v>1269</v>
      </c>
      <c r="K38" s="351">
        <v>888</v>
      </c>
      <c r="L38" s="351">
        <v>907</v>
      </c>
      <c r="M38" s="351">
        <v>4159</v>
      </c>
      <c r="N38" s="313"/>
      <c r="O38" s="352">
        <v>673</v>
      </c>
      <c r="P38" s="353">
        <v>790</v>
      </c>
      <c r="Q38" s="353">
        <v>931</v>
      </c>
      <c r="R38" s="353">
        <v>1157</v>
      </c>
      <c r="S38" s="320">
        <v>3551</v>
      </c>
      <c r="U38" s="353">
        <v>1304</v>
      </c>
      <c r="V38" s="353">
        <v>927</v>
      </c>
      <c r="W38" s="353">
        <v>968</v>
      </c>
      <c r="X38" s="353">
        <v>961</v>
      </c>
      <c r="Y38" s="320">
        <v>4160</v>
      </c>
      <c r="Z38" s="460"/>
      <c r="AA38" s="452">
        <v>771</v>
      </c>
    </row>
    <row r="39" spans="1:27" s="275" customFormat="1" ht="36.75" customHeight="1">
      <c r="A39" s="327" t="s">
        <v>173</v>
      </c>
      <c r="B39" s="4"/>
      <c r="C39" s="350">
        <v>982</v>
      </c>
      <c r="D39" s="351">
        <v>1041</v>
      </c>
      <c r="E39" s="351">
        <v>1163</v>
      </c>
      <c r="F39" s="351">
        <v>1235</v>
      </c>
      <c r="G39" s="351">
        <v>4331</v>
      </c>
      <c r="H39" s="327"/>
      <c r="I39" s="350">
        <v>1095</v>
      </c>
      <c r="J39" s="351">
        <v>1269</v>
      </c>
      <c r="K39" s="351">
        <v>888</v>
      </c>
      <c r="L39" s="351">
        <v>911</v>
      </c>
      <c r="M39" s="351">
        <v>4163</v>
      </c>
      <c r="N39" s="313"/>
      <c r="O39" s="350">
        <v>673</v>
      </c>
      <c r="P39" s="351">
        <v>790</v>
      </c>
      <c r="Q39" s="351">
        <v>931</v>
      </c>
      <c r="R39" s="351">
        <v>1157</v>
      </c>
      <c r="S39" s="314">
        <v>3551</v>
      </c>
      <c r="U39" s="351">
        <v>1304</v>
      </c>
      <c r="V39" s="351">
        <v>927</v>
      </c>
      <c r="W39" s="351">
        <v>968</v>
      </c>
      <c r="X39" s="351">
        <v>961</v>
      </c>
      <c r="Y39" s="314">
        <v>4160</v>
      </c>
      <c r="Z39" s="460"/>
      <c r="AA39" s="452">
        <v>771</v>
      </c>
    </row>
    <row r="40" spans="1:27" s="275" customFormat="1" ht="12" customHeight="1">
      <c r="A40" s="349"/>
      <c r="B40" s="349"/>
      <c r="C40" s="343"/>
      <c r="D40" s="344"/>
      <c r="E40" s="344"/>
      <c r="F40" s="344"/>
      <c r="G40" s="344"/>
      <c r="H40" s="4"/>
      <c r="I40" s="343"/>
      <c r="J40" s="344"/>
      <c r="K40" s="344"/>
      <c r="L40" s="344"/>
      <c r="M40" s="344"/>
      <c r="N40" s="313"/>
      <c r="O40" s="346"/>
      <c r="P40" s="345"/>
      <c r="Q40" s="345"/>
      <c r="R40" s="345"/>
      <c r="S40" s="314"/>
      <c r="U40" s="345"/>
      <c r="V40" s="345"/>
      <c r="W40" s="345"/>
      <c r="X40" s="345"/>
      <c r="Y40" s="314"/>
      <c r="AA40" s="299"/>
    </row>
    <row r="41" spans="1:27" s="275" customFormat="1" ht="12" customHeight="1">
      <c r="A41" s="348" t="s">
        <v>37</v>
      </c>
      <c r="B41" s="349"/>
      <c r="C41" s="354">
        <v>1.77</v>
      </c>
      <c r="D41" s="348">
        <v>1.82</v>
      </c>
      <c r="E41" s="348">
        <v>1.88</v>
      </c>
      <c r="F41" s="348">
        <v>1.82</v>
      </c>
      <c r="G41" s="348">
        <v>1.82</v>
      </c>
      <c r="H41" s="348"/>
      <c r="I41" s="355">
        <v>1.46</v>
      </c>
      <c r="J41" s="356">
        <v>1.52</v>
      </c>
      <c r="K41" s="356">
        <v>1.49</v>
      </c>
      <c r="L41" s="356">
        <v>1.4</v>
      </c>
      <c r="M41" s="356">
        <v>1.47</v>
      </c>
      <c r="N41" s="357"/>
      <c r="O41" s="355">
        <v>1.33</v>
      </c>
      <c r="P41" s="356">
        <v>1.32</v>
      </c>
      <c r="Q41" s="356">
        <v>1.18</v>
      </c>
      <c r="R41" s="356">
        <v>1.34</v>
      </c>
      <c r="S41" s="358">
        <v>1.3</v>
      </c>
      <c r="U41" s="356">
        <v>1.33</v>
      </c>
      <c r="V41" s="356">
        <v>1.34</v>
      </c>
      <c r="W41" s="356">
        <v>1.42</v>
      </c>
      <c r="X41" s="356">
        <v>1.84</v>
      </c>
      <c r="Y41" s="358">
        <v>1.52</v>
      </c>
      <c r="AA41" s="299">
        <v>1.74</v>
      </c>
    </row>
    <row r="42" spans="1:27" s="275" customFormat="1" ht="12" customHeight="1">
      <c r="A42" s="87"/>
      <c r="B42" s="86"/>
      <c r="C42" s="343"/>
      <c r="D42" s="344"/>
      <c r="E42" s="344"/>
      <c r="F42" s="344"/>
      <c r="G42" s="344"/>
      <c r="H42" s="4"/>
      <c r="I42" s="343"/>
      <c r="J42" s="344"/>
      <c r="K42" s="344"/>
      <c r="L42" s="344"/>
      <c r="M42" s="344"/>
      <c r="N42" s="345"/>
      <c r="O42" s="346"/>
      <c r="P42" s="345"/>
      <c r="Q42" s="345"/>
      <c r="R42" s="345"/>
      <c r="S42" s="347"/>
      <c r="U42" s="345"/>
      <c r="V42" s="345"/>
      <c r="W42" s="345"/>
      <c r="X42" s="345"/>
      <c r="Y42" s="540"/>
      <c r="AA42" s="346"/>
    </row>
    <row r="43" spans="1:27" s="275" customFormat="1" ht="12" customHeight="1">
      <c r="A43" s="359" t="s">
        <v>174</v>
      </c>
      <c r="B43" s="360"/>
      <c r="C43" s="361"/>
      <c r="D43" s="362"/>
      <c r="E43" s="362"/>
      <c r="F43" s="363"/>
      <c r="G43" s="363"/>
      <c r="H43" s="362"/>
      <c r="I43" s="361"/>
      <c r="J43" s="362"/>
      <c r="K43" s="362"/>
      <c r="L43" s="363"/>
      <c r="M43" s="363"/>
      <c r="N43" s="364"/>
      <c r="O43" s="365"/>
      <c r="P43" s="366"/>
      <c r="Q43" s="366"/>
      <c r="R43" s="283"/>
      <c r="S43" s="367"/>
      <c r="U43" s="366"/>
      <c r="V43" s="366"/>
      <c r="W43" s="366"/>
      <c r="X43" s="366"/>
      <c r="Y43" s="540"/>
      <c r="AA43" s="365"/>
    </row>
    <row r="44" spans="1:27" ht="11.25">
      <c r="A44" s="368" t="s">
        <v>20</v>
      </c>
      <c r="B44" s="287"/>
      <c r="C44" s="369">
        <v>206</v>
      </c>
      <c r="D44" s="370">
        <v>213</v>
      </c>
      <c r="E44" s="370">
        <v>210</v>
      </c>
      <c r="F44" s="370">
        <v>189</v>
      </c>
      <c r="G44" s="370">
        <v>818</v>
      </c>
      <c r="H44" s="371"/>
      <c r="I44" s="369">
        <v>226</v>
      </c>
      <c r="J44" s="370">
        <v>228</v>
      </c>
      <c r="K44" s="370">
        <v>234</v>
      </c>
      <c r="L44" s="370">
        <v>222</v>
      </c>
      <c r="M44" s="370">
        <v>910</v>
      </c>
      <c r="N44" s="370"/>
      <c r="O44" s="372">
        <v>243</v>
      </c>
      <c r="P44" s="373">
        <v>247</v>
      </c>
      <c r="Q44" s="373">
        <v>246</v>
      </c>
      <c r="R44" s="373">
        <v>257</v>
      </c>
      <c r="S44" s="320">
        <v>993</v>
      </c>
      <c r="U44" s="373">
        <v>269</v>
      </c>
      <c r="V44" s="373">
        <v>262</v>
      </c>
      <c r="W44" s="373">
        <v>261</v>
      </c>
      <c r="X44" s="373">
        <v>280</v>
      </c>
      <c r="Y44" s="373">
        <f>U44+V44+W44+X44</f>
        <v>1072</v>
      </c>
      <c r="AA44" s="321">
        <v>293</v>
      </c>
    </row>
    <row r="45" spans="1:27" ht="11.25">
      <c r="A45" s="368" t="s">
        <v>21</v>
      </c>
      <c r="B45" s="287"/>
      <c r="C45" s="374">
        <v>750</v>
      </c>
      <c r="D45" s="375">
        <v>736</v>
      </c>
      <c r="E45" s="375">
        <v>752</v>
      </c>
      <c r="F45" s="375">
        <v>784</v>
      </c>
      <c r="G45" s="375">
        <v>3022</v>
      </c>
      <c r="H45" s="287"/>
      <c r="I45" s="374">
        <v>741</v>
      </c>
      <c r="J45" s="375">
        <v>711</v>
      </c>
      <c r="K45" s="375">
        <v>760</v>
      </c>
      <c r="L45" s="375">
        <v>780</v>
      </c>
      <c r="M45" s="375">
        <v>2992</v>
      </c>
      <c r="N45" s="376"/>
      <c r="O45" s="374">
        <v>698</v>
      </c>
      <c r="P45" s="375">
        <v>760</v>
      </c>
      <c r="Q45" s="375">
        <v>760</v>
      </c>
      <c r="R45" s="375">
        <v>805</v>
      </c>
      <c r="S45" s="320">
        <v>3023</v>
      </c>
      <c r="U45" s="375">
        <v>751</v>
      </c>
      <c r="V45" s="375">
        <v>813</v>
      </c>
      <c r="W45" s="375">
        <v>782</v>
      </c>
      <c r="X45" s="375">
        <v>864</v>
      </c>
      <c r="Y45" s="375">
        <f aca="true" t="shared" si="1" ref="Y45:Y60">U45+V45+W45+X45</f>
        <v>3210</v>
      </c>
      <c r="AA45" s="321">
        <v>782</v>
      </c>
    </row>
    <row r="46" spans="1:27" ht="11.25">
      <c r="A46" s="368" t="s">
        <v>175</v>
      </c>
      <c r="B46" s="287"/>
      <c r="C46" s="374">
        <v>1496</v>
      </c>
      <c r="D46" s="375">
        <v>1413</v>
      </c>
      <c r="E46" s="375">
        <v>1543</v>
      </c>
      <c r="F46" s="375">
        <v>1418</v>
      </c>
      <c r="G46" s="375">
        <v>5870</v>
      </c>
      <c r="H46" s="287"/>
      <c r="I46" s="374">
        <v>1320</v>
      </c>
      <c r="J46" s="375">
        <v>1488</v>
      </c>
      <c r="K46" s="375">
        <v>1240</v>
      </c>
      <c r="L46" s="375">
        <v>1433</v>
      </c>
      <c r="M46" s="375">
        <v>5481</v>
      </c>
      <c r="N46" s="376"/>
      <c r="O46" s="374">
        <v>1400</v>
      </c>
      <c r="P46" s="375">
        <v>1416</v>
      </c>
      <c r="Q46" s="375">
        <v>1179</v>
      </c>
      <c r="R46" s="375">
        <v>1487</v>
      </c>
      <c r="S46" s="320">
        <v>5482</v>
      </c>
      <c r="U46" s="375">
        <v>1371</v>
      </c>
      <c r="V46" s="375">
        <v>1417</v>
      </c>
      <c r="W46" s="375">
        <v>1596</v>
      </c>
      <c r="X46" s="375">
        <v>1447</v>
      </c>
      <c r="Y46" s="375">
        <f t="shared" si="1"/>
        <v>5831</v>
      </c>
      <c r="AA46" s="321">
        <v>1405</v>
      </c>
    </row>
    <row r="47" spans="1:27" ht="11.25">
      <c r="A47" s="316" t="s">
        <v>176</v>
      </c>
      <c r="B47" s="287"/>
      <c r="C47" s="374">
        <v>952</v>
      </c>
      <c r="D47" s="375">
        <v>874</v>
      </c>
      <c r="E47" s="375">
        <v>998</v>
      </c>
      <c r="F47" s="375">
        <v>864</v>
      </c>
      <c r="G47" s="375">
        <v>3688</v>
      </c>
      <c r="H47" s="287"/>
      <c r="I47" s="374">
        <v>799</v>
      </c>
      <c r="J47" s="375">
        <v>972</v>
      </c>
      <c r="K47" s="375">
        <v>713</v>
      </c>
      <c r="L47" s="375">
        <v>868</v>
      </c>
      <c r="M47" s="375">
        <v>3352</v>
      </c>
      <c r="N47" s="376"/>
      <c r="O47" s="374">
        <v>885</v>
      </c>
      <c r="P47" s="375">
        <v>902</v>
      </c>
      <c r="Q47" s="375">
        <v>707</v>
      </c>
      <c r="R47" s="375">
        <v>975</v>
      </c>
      <c r="S47" s="320">
        <v>3469</v>
      </c>
      <c r="U47" s="375">
        <v>853</v>
      </c>
      <c r="V47" s="375">
        <v>906</v>
      </c>
      <c r="W47" s="375">
        <v>1059</v>
      </c>
      <c r="X47" s="375">
        <v>932</v>
      </c>
      <c r="Y47" s="375">
        <f t="shared" si="1"/>
        <v>3750</v>
      </c>
      <c r="AA47" s="321">
        <v>866</v>
      </c>
    </row>
    <row r="48" spans="1:27" ht="11.25">
      <c r="A48" s="316" t="s">
        <v>177</v>
      </c>
      <c r="B48" s="287"/>
      <c r="C48" s="377">
        <v>210</v>
      </c>
      <c r="D48" s="378">
        <v>187</v>
      </c>
      <c r="E48" s="378">
        <v>204</v>
      </c>
      <c r="F48" s="378">
        <v>181</v>
      </c>
      <c r="G48" s="375">
        <v>782</v>
      </c>
      <c r="H48" s="287"/>
      <c r="I48" s="374">
        <v>178</v>
      </c>
      <c r="J48" s="375">
        <v>174</v>
      </c>
      <c r="K48" s="375">
        <v>183</v>
      </c>
      <c r="L48" s="375">
        <v>200</v>
      </c>
      <c r="M48" s="375">
        <v>735</v>
      </c>
      <c r="N48" s="376"/>
      <c r="O48" s="374">
        <v>198</v>
      </c>
      <c r="P48" s="375">
        <v>189</v>
      </c>
      <c r="Q48" s="375">
        <v>172</v>
      </c>
      <c r="R48" s="375">
        <v>186</v>
      </c>
      <c r="S48" s="320">
        <v>745</v>
      </c>
      <c r="U48" s="375">
        <v>167</v>
      </c>
      <c r="V48" s="375">
        <v>190</v>
      </c>
      <c r="W48" s="375">
        <v>222</v>
      </c>
      <c r="X48" s="375">
        <v>196</v>
      </c>
      <c r="Y48" s="375">
        <f t="shared" si="1"/>
        <v>775</v>
      </c>
      <c r="AA48" s="321">
        <v>185</v>
      </c>
    </row>
    <row r="49" spans="1:27" ht="11.25">
      <c r="A49" s="368" t="s">
        <v>178</v>
      </c>
      <c r="B49" s="287"/>
      <c r="C49" s="374">
        <v>341</v>
      </c>
      <c r="D49" s="375">
        <v>347</v>
      </c>
      <c r="E49" s="375">
        <v>333</v>
      </c>
      <c r="F49" s="375">
        <v>357</v>
      </c>
      <c r="G49" s="375">
        <v>1378</v>
      </c>
      <c r="H49" s="287"/>
      <c r="I49" s="374">
        <v>320</v>
      </c>
      <c r="J49" s="375">
        <v>352</v>
      </c>
      <c r="K49" s="375">
        <v>345</v>
      </c>
      <c r="L49" s="375">
        <v>403</v>
      </c>
      <c r="M49" s="375">
        <v>1420</v>
      </c>
      <c r="N49" s="376"/>
      <c r="O49" s="374">
        <v>329</v>
      </c>
      <c r="P49" s="375">
        <v>349</v>
      </c>
      <c r="Q49" s="375">
        <v>324</v>
      </c>
      <c r="R49" s="375">
        <v>390</v>
      </c>
      <c r="S49" s="320">
        <v>1392</v>
      </c>
      <c r="U49" s="375">
        <v>353</v>
      </c>
      <c r="V49" s="375">
        <v>360</v>
      </c>
      <c r="W49" s="375">
        <v>362</v>
      </c>
      <c r="X49" s="375">
        <v>456</v>
      </c>
      <c r="Y49" s="375">
        <f t="shared" si="1"/>
        <v>1531</v>
      </c>
      <c r="AA49" s="321">
        <v>369</v>
      </c>
    </row>
    <row r="50" spans="1:27" ht="11.25">
      <c r="A50" s="316" t="s">
        <v>179</v>
      </c>
      <c r="B50" s="287"/>
      <c r="C50" s="377">
        <v>57</v>
      </c>
      <c r="D50" s="378">
        <v>57</v>
      </c>
      <c r="E50" s="378">
        <v>52</v>
      </c>
      <c r="F50" s="378">
        <v>68</v>
      </c>
      <c r="G50" s="379">
        <v>234</v>
      </c>
      <c r="H50" s="287"/>
      <c r="I50" s="377">
        <v>58</v>
      </c>
      <c r="J50" s="378">
        <v>54</v>
      </c>
      <c r="K50" s="378">
        <v>54</v>
      </c>
      <c r="L50" s="379">
        <v>67</v>
      </c>
      <c r="M50" s="379">
        <v>233</v>
      </c>
      <c r="N50" s="380"/>
      <c r="O50" s="381">
        <v>51</v>
      </c>
      <c r="P50" s="379">
        <v>52</v>
      </c>
      <c r="Q50" s="379">
        <v>57</v>
      </c>
      <c r="R50" s="379">
        <v>68</v>
      </c>
      <c r="S50" s="320">
        <v>228</v>
      </c>
      <c r="U50" s="379">
        <v>52</v>
      </c>
      <c r="V50" s="379">
        <v>56</v>
      </c>
      <c r="W50" s="379">
        <v>53</v>
      </c>
      <c r="X50" s="379">
        <v>54</v>
      </c>
      <c r="Y50" s="379">
        <f t="shared" si="1"/>
        <v>215</v>
      </c>
      <c r="AA50" s="321">
        <v>50</v>
      </c>
    </row>
    <row r="51" spans="1:27" ht="11.25">
      <c r="A51" s="316" t="s">
        <v>180</v>
      </c>
      <c r="B51" s="287"/>
      <c r="C51" s="377">
        <v>88</v>
      </c>
      <c r="D51" s="378">
        <v>93</v>
      </c>
      <c r="E51" s="378">
        <v>95</v>
      </c>
      <c r="F51" s="378">
        <v>122</v>
      </c>
      <c r="G51" s="379">
        <v>398</v>
      </c>
      <c r="H51" s="287"/>
      <c r="I51" s="377">
        <v>88</v>
      </c>
      <c r="J51" s="378">
        <v>95</v>
      </c>
      <c r="K51" s="378">
        <v>100</v>
      </c>
      <c r="L51" s="379">
        <v>126</v>
      </c>
      <c r="M51" s="379">
        <v>409</v>
      </c>
      <c r="N51" s="380"/>
      <c r="O51" s="381">
        <v>81</v>
      </c>
      <c r="P51" s="379">
        <v>92</v>
      </c>
      <c r="Q51" s="379">
        <v>98</v>
      </c>
      <c r="R51" s="379">
        <v>121</v>
      </c>
      <c r="S51" s="320">
        <v>392</v>
      </c>
      <c r="U51" s="379">
        <v>98</v>
      </c>
      <c r="V51" s="379">
        <v>102</v>
      </c>
      <c r="W51" s="379">
        <v>106</v>
      </c>
      <c r="X51" s="379">
        <v>140</v>
      </c>
      <c r="Y51" s="379">
        <f t="shared" si="1"/>
        <v>446</v>
      </c>
      <c r="AA51" s="321">
        <v>108</v>
      </c>
    </row>
    <row r="52" spans="1:27" ht="11.25">
      <c r="A52" s="316" t="s">
        <v>181</v>
      </c>
      <c r="B52" s="287"/>
      <c r="C52" s="377">
        <v>98</v>
      </c>
      <c r="D52" s="378">
        <v>97</v>
      </c>
      <c r="E52" s="378">
        <v>92</v>
      </c>
      <c r="F52" s="378">
        <v>73</v>
      </c>
      <c r="G52" s="379">
        <v>360</v>
      </c>
      <c r="H52" s="287"/>
      <c r="I52" s="377">
        <v>86</v>
      </c>
      <c r="J52" s="378">
        <v>98</v>
      </c>
      <c r="K52" s="378">
        <v>97</v>
      </c>
      <c r="L52" s="379">
        <v>107</v>
      </c>
      <c r="M52" s="379">
        <v>388</v>
      </c>
      <c r="N52" s="380"/>
      <c r="O52" s="381">
        <v>105</v>
      </c>
      <c r="P52" s="379">
        <v>102</v>
      </c>
      <c r="Q52" s="379">
        <v>77</v>
      </c>
      <c r="R52" s="379">
        <v>83</v>
      </c>
      <c r="S52" s="320">
        <v>367</v>
      </c>
      <c r="U52" s="379">
        <v>104</v>
      </c>
      <c r="V52" s="379">
        <v>103</v>
      </c>
      <c r="W52" s="379">
        <v>114</v>
      </c>
      <c r="X52" s="379">
        <v>116</v>
      </c>
      <c r="Y52" s="379">
        <f t="shared" si="1"/>
        <v>437</v>
      </c>
      <c r="AA52" s="321">
        <v>117</v>
      </c>
    </row>
    <row r="53" spans="1:27" ht="11.25">
      <c r="A53" s="368" t="s">
        <v>51</v>
      </c>
      <c r="B53" s="287"/>
      <c r="C53" s="374">
        <v>395</v>
      </c>
      <c r="D53" s="375">
        <v>353</v>
      </c>
      <c r="E53" s="375">
        <v>383</v>
      </c>
      <c r="F53" s="375">
        <v>389</v>
      </c>
      <c r="G53" s="375">
        <v>1520</v>
      </c>
      <c r="H53" s="287"/>
      <c r="I53" s="374">
        <v>393</v>
      </c>
      <c r="J53" s="375">
        <v>417</v>
      </c>
      <c r="K53" s="375">
        <v>325</v>
      </c>
      <c r="L53" s="375">
        <v>304</v>
      </c>
      <c r="M53" s="375">
        <v>1439</v>
      </c>
      <c r="N53" s="376"/>
      <c r="O53" s="374">
        <v>293</v>
      </c>
      <c r="P53" s="375">
        <v>313</v>
      </c>
      <c r="Q53" s="375">
        <v>336</v>
      </c>
      <c r="R53" s="375">
        <v>396</v>
      </c>
      <c r="S53" s="320">
        <v>1338</v>
      </c>
      <c r="U53" s="375">
        <v>466</v>
      </c>
      <c r="V53" s="375">
        <v>405</v>
      </c>
      <c r="W53" s="375">
        <v>438</v>
      </c>
      <c r="X53" s="375">
        <v>456</v>
      </c>
      <c r="Y53" s="375">
        <f t="shared" si="1"/>
        <v>1765</v>
      </c>
      <c r="AA53" s="321">
        <v>434</v>
      </c>
    </row>
    <row r="54" spans="1:27" ht="11.25">
      <c r="A54" s="368" t="s">
        <v>24</v>
      </c>
      <c r="B54" s="287"/>
      <c r="C54" s="374">
        <v>98</v>
      </c>
      <c r="D54" s="375">
        <v>89</v>
      </c>
      <c r="E54" s="375">
        <v>93</v>
      </c>
      <c r="F54" s="375">
        <v>96</v>
      </c>
      <c r="G54" s="375">
        <v>376</v>
      </c>
      <c r="H54" s="287"/>
      <c r="I54" s="374">
        <v>100</v>
      </c>
      <c r="J54" s="375">
        <v>90</v>
      </c>
      <c r="K54" s="375">
        <v>97</v>
      </c>
      <c r="L54" s="375">
        <v>98</v>
      </c>
      <c r="M54" s="375">
        <v>385</v>
      </c>
      <c r="N54" s="376"/>
      <c r="O54" s="374">
        <v>97</v>
      </c>
      <c r="P54" s="375">
        <v>108</v>
      </c>
      <c r="Q54" s="375">
        <v>92</v>
      </c>
      <c r="R54" s="375">
        <v>90</v>
      </c>
      <c r="S54" s="320">
        <v>387</v>
      </c>
      <c r="U54" s="375">
        <v>107</v>
      </c>
      <c r="V54" s="375">
        <v>101</v>
      </c>
      <c r="W54" s="375">
        <v>102</v>
      </c>
      <c r="X54" s="375">
        <v>79</v>
      </c>
      <c r="Y54" s="375">
        <f t="shared" si="1"/>
        <v>389</v>
      </c>
      <c r="AA54" s="321">
        <v>109</v>
      </c>
    </row>
    <row r="55" spans="1:27" ht="11.25">
      <c r="A55" s="371" t="s">
        <v>25</v>
      </c>
      <c r="B55" s="287"/>
      <c r="C55" s="369">
        <v>14</v>
      </c>
      <c r="D55" s="376">
        <v>35</v>
      </c>
      <c r="E55" s="376">
        <v>14</v>
      </c>
      <c r="F55" s="376">
        <v>46</v>
      </c>
      <c r="G55" s="376">
        <v>109</v>
      </c>
      <c r="H55" s="287"/>
      <c r="I55" s="369">
        <v>18</v>
      </c>
      <c r="J55" s="376">
        <v>71</v>
      </c>
      <c r="K55" s="376">
        <v>16</v>
      </c>
      <c r="L55" s="376">
        <v>50</v>
      </c>
      <c r="M55" s="376">
        <v>155</v>
      </c>
      <c r="N55" s="376"/>
      <c r="O55" s="369">
        <v>19</v>
      </c>
      <c r="P55" s="376">
        <v>26</v>
      </c>
      <c r="Q55" s="376">
        <v>62</v>
      </c>
      <c r="R55" s="375">
        <v>54</v>
      </c>
      <c r="S55" s="320">
        <f>105+19+37</f>
        <v>161</v>
      </c>
      <c r="U55" s="376">
        <v>20</v>
      </c>
      <c r="V55" s="376">
        <v>40</v>
      </c>
      <c r="W55" s="376">
        <v>29</v>
      </c>
      <c r="X55" s="376">
        <v>37</v>
      </c>
      <c r="Y55" s="376">
        <f t="shared" si="1"/>
        <v>126</v>
      </c>
      <c r="AA55" s="321">
        <v>29</v>
      </c>
    </row>
    <row r="56" spans="1:27" ht="11.25">
      <c r="A56" s="382" t="s">
        <v>26</v>
      </c>
      <c r="B56" s="360"/>
      <c r="C56" s="383">
        <f>C44+C45+C46+C49+C53+C54+C55</f>
        <v>3300</v>
      </c>
      <c r="D56" s="384">
        <f>D44+D45+D46+D49+D53+D54+D55</f>
        <v>3186</v>
      </c>
      <c r="E56" s="384">
        <f>E44+E45+E46+E49+E53+E54+E55</f>
        <v>3328</v>
      </c>
      <c r="F56" s="384">
        <f>F44+F45+F46+F49+F53+F54+F55</f>
        <v>3279</v>
      </c>
      <c r="G56" s="384">
        <f>G44+G45+G46+G49+G53+G54+G55</f>
        <v>13093</v>
      </c>
      <c r="H56" s="360"/>
      <c r="I56" s="383">
        <f>I44+I45+I46+I49+I53+I54+I55</f>
        <v>3118</v>
      </c>
      <c r="J56" s="384">
        <f>J44+J45+J46+J49+J53+J54+J55</f>
        <v>3357</v>
      </c>
      <c r="K56" s="384">
        <f>K44+K45+K46+K49+K53+K54+K55</f>
        <v>3017</v>
      </c>
      <c r="L56" s="384">
        <f>L44+L45+L46+L49+L53+L54+L55</f>
        <v>3290</v>
      </c>
      <c r="M56" s="384">
        <f>M44+M45+M46+M49+M53+M54+M55</f>
        <v>12782</v>
      </c>
      <c r="N56" s="385"/>
      <c r="O56" s="383">
        <f>O44+O45+O46+O49+O53+O54+O55</f>
        <v>3079</v>
      </c>
      <c r="P56" s="384">
        <f>P44+P45+P46+P49+P53+P54+P55</f>
        <v>3219</v>
      </c>
      <c r="Q56" s="384">
        <f>Q44+Q45+Q46+Q49+Q53+Q54+Q55</f>
        <v>2999</v>
      </c>
      <c r="R56" s="384">
        <f>R44+R45+R46+R49+R53+R54+R55</f>
        <v>3479</v>
      </c>
      <c r="S56" s="314">
        <f>S44+S45+S46+S49+S53+S54+S55</f>
        <v>12776</v>
      </c>
      <c r="U56" s="384">
        <f>U44+U45+U46+U49+U53+U54+U55</f>
        <v>3337</v>
      </c>
      <c r="V56" s="384">
        <f>V44+V45+V46+V49+V53+V54+V55</f>
        <v>3398</v>
      </c>
      <c r="W56" s="384">
        <f>W44+W45+W46+W49+W53+W54+W55</f>
        <v>3570</v>
      </c>
      <c r="X56" s="384">
        <f>X44+X45+X46+X49+X53+X54+X55</f>
        <v>3619</v>
      </c>
      <c r="Y56" s="384">
        <f t="shared" si="1"/>
        <v>13924</v>
      </c>
      <c r="AA56" s="325">
        <f>AA44+AA45+AA46+AA49+AA53+AA54+AA55</f>
        <v>3421</v>
      </c>
    </row>
    <row r="57" spans="1:27" ht="11.25">
      <c r="A57" s="371" t="s">
        <v>27</v>
      </c>
      <c r="B57" s="287"/>
      <c r="C57" s="369">
        <v>30</v>
      </c>
      <c r="D57" s="386">
        <v>49</v>
      </c>
      <c r="E57" s="370">
        <v>28</v>
      </c>
      <c r="F57" s="370">
        <v>29</v>
      </c>
      <c r="G57" s="370">
        <v>136</v>
      </c>
      <c r="H57" s="287"/>
      <c r="I57" s="369">
        <v>33</v>
      </c>
      <c r="J57" s="370">
        <v>30</v>
      </c>
      <c r="K57" s="370">
        <v>40</v>
      </c>
      <c r="L57" s="370">
        <v>44</v>
      </c>
      <c r="M57" s="370">
        <v>147</v>
      </c>
      <c r="N57" s="376"/>
      <c r="O57" s="369">
        <v>34</v>
      </c>
      <c r="P57" s="376">
        <v>47</v>
      </c>
      <c r="Q57" s="376">
        <v>26</v>
      </c>
      <c r="R57" s="375">
        <v>38</v>
      </c>
      <c r="S57" s="320">
        <v>145</v>
      </c>
      <c r="U57" s="376">
        <v>56</v>
      </c>
      <c r="V57" s="376">
        <v>51</v>
      </c>
      <c r="W57" s="376">
        <v>40</v>
      </c>
      <c r="X57" s="376">
        <v>35</v>
      </c>
      <c r="Y57" s="376">
        <f t="shared" si="1"/>
        <v>182</v>
      </c>
      <c r="AA57" s="321">
        <v>41</v>
      </c>
    </row>
    <row r="58" spans="1:27" ht="11.25">
      <c r="A58" s="368" t="s">
        <v>28</v>
      </c>
      <c r="B58" s="287"/>
      <c r="C58" s="374">
        <v>-269</v>
      </c>
      <c r="D58" s="387">
        <v>-95</v>
      </c>
      <c r="E58" s="375">
        <v>-106</v>
      </c>
      <c r="F58" s="375">
        <v>504</v>
      </c>
      <c r="G58" s="375">
        <v>34</v>
      </c>
      <c r="H58" s="287"/>
      <c r="I58" s="374">
        <v>-229</v>
      </c>
      <c r="J58" s="375">
        <v>-99</v>
      </c>
      <c r="K58" s="375">
        <v>-9</v>
      </c>
      <c r="L58" s="375">
        <v>181</v>
      </c>
      <c r="M58" s="375">
        <v>-156</v>
      </c>
      <c r="N58" s="376"/>
      <c r="O58" s="374">
        <v>-561</v>
      </c>
      <c r="P58" s="375">
        <v>-213</v>
      </c>
      <c r="Q58" s="375">
        <v>54</v>
      </c>
      <c r="R58" s="375">
        <v>434</v>
      </c>
      <c r="S58" s="320">
        <v>-286</v>
      </c>
      <c r="U58" s="375">
        <v>-534</v>
      </c>
      <c r="V58" s="375">
        <v>-282</v>
      </c>
      <c r="W58" s="375">
        <v>-568</v>
      </c>
      <c r="X58" s="375">
        <v>287</v>
      </c>
      <c r="Y58" s="375">
        <f t="shared" si="1"/>
        <v>-1097</v>
      </c>
      <c r="AA58" s="321">
        <v>-744</v>
      </c>
    </row>
    <row r="59" spans="1:27" ht="11.25">
      <c r="A59" s="368" t="s">
        <v>182</v>
      </c>
      <c r="B59" s="287"/>
      <c r="C59" s="374">
        <v>-37</v>
      </c>
      <c r="D59" s="387">
        <v>-37</v>
      </c>
      <c r="E59" s="375">
        <v>-36</v>
      </c>
      <c r="F59" s="375">
        <v>-33</v>
      </c>
      <c r="G59" s="375">
        <v>-143</v>
      </c>
      <c r="H59" s="287"/>
      <c r="I59" s="374">
        <v>-24</v>
      </c>
      <c r="J59" s="375">
        <v>-29</v>
      </c>
      <c r="K59" s="375">
        <v>-29</v>
      </c>
      <c r="L59" s="375">
        <v>-36</v>
      </c>
      <c r="M59" s="375">
        <v>-118</v>
      </c>
      <c r="N59" s="376"/>
      <c r="O59" s="374">
        <v>-32</v>
      </c>
      <c r="P59" s="375">
        <v>-45</v>
      </c>
      <c r="Q59" s="375">
        <v>-17</v>
      </c>
      <c r="R59" s="375">
        <v>-24</v>
      </c>
      <c r="S59" s="320">
        <v>-118</v>
      </c>
      <c r="U59" s="375">
        <v>-28</v>
      </c>
      <c r="V59" s="375">
        <v>-32</v>
      </c>
      <c r="W59" s="375">
        <v>-22</v>
      </c>
      <c r="X59" s="375">
        <v>-28</v>
      </c>
      <c r="Y59" s="375">
        <f t="shared" si="1"/>
        <v>-110</v>
      </c>
      <c r="AA59" s="321">
        <v>-32</v>
      </c>
    </row>
    <row r="60" spans="1:27" ht="36.75" customHeight="1">
      <c r="A60" s="382" t="s">
        <v>183</v>
      </c>
      <c r="B60" s="360"/>
      <c r="C60" s="383">
        <f>SUM(C56:C59)</f>
        <v>3024</v>
      </c>
      <c r="D60" s="384">
        <f>SUM(D56:D59)</f>
        <v>3103</v>
      </c>
      <c r="E60" s="384">
        <f>SUM(E56:E59)</f>
        <v>3214</v>
      </c>
      <c r="F60" s="384">
        <f>G60-C60-D60-E60</f>
        <v>3779</v>
      </c>
      <c r="G60" s="384">
        <f>SUM(G56:G59)</f>
        <v>13120</v>
      </c>
      <c r="H60" s="360"/>
      <c r="I60" s="383">
        <f>SUM(I56:I59)</f>
        <v>2898</v>
      </c>
      <c r="J60" s="384">
        <f>SUM(J56:J59)</f>
        <v>3259</v>
      </c>
      <c r="K60" s="384">
        <f>SUM(K56:K59)</f>
        <v>3019</v>
      </c>
      <c r="L60" s="384">
        <f>SUM(L56:L59)</f>
        <v>3479</v>
      </c>
      <c r="M60" s="384">
        <f>SUM(M56:M59)</f>
        <v>12655</v>
      </c>
      <c r="N60" s="385"/>
      <c r="O60" s="383">
        <f>SUM(O56:O59)</f>
        <v>2520</v>
      </c>
      <c r="P60" s="384">
        <f>SUM(P56:P59)</f>
        <v>3008</v>
      </c>
      <c r="Q60" s="384">
        <f>SUM(Q56:Q59)</f>
        <v>3062</v>
      </c>
      <c r="R60" s="384">
        <v>3927</v>
      </c>
      <c r="S60" s="314">
        <f>SUM(S56:S59)</f>
        <v>12517</v>
      </c>
      <c r="U60" s="384">
        <f>SUM(U56:U59)</f>
        <v>2831</v>
      </c>
      <c r="V60" s="384">
        <f>SUM(V56:V59)</f>
        <v>3135</v>
      </c>
      <c r="W60" s="384">
        <f>SUM(W56:W59)</f>
        <v>3020</v>
      </c>
      <c r="X60" s="384">
        <f>SUM(X56:X59)</f>
        <v>3913</v>
      </c>
      <c r="Y60" s="384">
        <f t="shared" si="1"/>
        <v>12899</v>
      </c>
      <c r="AA60" s="388">
        <f>SUM(AA56:AA59)</f>
        <v>2686</v>
      </c>
    </row>
    <row r="62" ht="11.25">
      <c r="A62" s="1" t="s">
        <v>231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55.421875" style="0" customWidth="1"/>
    <col min="2" max="2" width="0.9921875" style="59" customWidth="1"/>
    <col min="3" max="3" width="9.140625" style="10" customWidth="1"/>
    <col min="4" max="4" width="0.9921875" style="11" customWidth="1"/>
    <col min="5" max="8" width="9.140625" style="12" customWidth="1"/>
    <col min="9" max="9" width="9.140625" style="10" customWidth="1"/>
    <col min="10" max="10" width="0.9921875" style="12" customWidth="1"/>
    <col min="11" max="14" width="9.140625" style="12" customWidth="1"/>
    <col min="15" max="15" width="9.57421875" style="10" customWidth="1"/>
    <col min="16" max="16" width="0.85546875" style="12" customWidth="1"/>
    <col min="17" max="21" width="8.8515625" style="12" customWidth="1"/>
    <col min="22" max="22" width="0.85546875" style="0" customWidth="1"/>
  </cols>
  <sheetData>
    <row r="1" spans="1:2" ht="15">
      <c r="A1" s="6" t="s">
        <v>184</v>
      </c>
      <c r="B1" s="9"/>
    </row>
    <row r="2" spans="1:23" ht="24" customHeight="1">
      <c r="A2" s="13"/>
      <c r="B2" s="14"/>
      <c r="C2" s="15">
        <v>2014</v>
      </c>
      <c r="D2" s="15"/>
      <c r="E2" s="15" t="s">
        <v>9</v>
      </c>
      <c r="F2" s="15" t="s">
        <v>10</v>
      </c>
      <c r="G2" s="15" t="s">
        <v>11</v>
      </c>
      <c r="H2" s="15" t="s">
        <v>12</v>
      </c>
      <c r="I2" s="15" t="s">
        <v>66</v>
      </c>
      <c r="J2" s="15"/>
      <c r="K2" s="15" t="s">
        <v>13</v>
      </c>
      <c r="L2" s="15" t="s">
        <v>14</v>
      </c>
      <c r="M2" s="15" t="s">
        <v>15</v>
      </c>
      <c r="N2" s="15" t="s">
        <v>16</v>
      </c>
      <c r="O2" s="15" t="s">
        <v>67</v>
      </c>
      <c r="Q2" s="15" t="s">
        <v>63</v>
      </c>
      <c r="R2" s="15" t="s">
        <v>64</v>
      </c>
      <c r="S2" s="15" t="s">
        <v>68</v>
      </c>
      <c r="T2" s="15" t="s">
        <v>69</v>
      </c>
      <c r="U2" s="15">
        <v>2017</v>
      </c>
      <c r="W2" s="15" t="s">
        <v>224</v>
      </c>
    </row>
    <row r="3" spans="1:23" s="23" customFormat="1" ht="14.25">
      <c r="A3" s="16" t="s">
        <v>70</v>
      </c>
      <c r="B3" s="17"/>
      <c r="C3" s="21">
        <v>3362</v>
      </c>
      <c r="D3" s="19"/>
      <c r="E3" s="21">
        <v>705</v>
      </c>
      <c r="F3" s="18">
        <v>1176</v>
      </c>
      <c r="G3" s="18">
        <v>521</v>
      </c>
      <c r="H3" s="18">
        <v>-4340</v>
      </c>
      <c r="I3" s="18">
        <v>-1938</v>
      </c>
      <c r="J3" s="20"/>
      <c r="K3" s="18">
        <v>532</v>
      </c>
      <c r="L3" s="18">
        <v>500</v>
      </c>
      <c r="M3" s="18">
        <v>800</v>
      </c>
      <c r="N3" s="18">
        <v>-5207</v>
      </c>
      <c r="O3" s="18">
        <v>-3375</v>
      </c>
      <c r="P3" s="10"/>
      <c r="Q3" s="21">
        <v>1104</v>
      </c>
      <c r="R3" s="389">
        <v>725</v>
      </c>
      <c r="S3" s="389">
        <v>673</v>
      </c>
      <c r="T3" s="389">
        <v>-348</v>
      </c>
      <c r="U3" s="511">
        <v>2154</v>
      </c>
      <c r="W3" s="519">
        <v>727</v>
      </c>
    </row>
    <row r="4" spans="1:23" ht="12.75">
      <c r="A4" s="24" t="s">
        <v>71</v>
      </c>
      <c r="B4" s="25"/>
      <c r="C4" s="29">
        <v>818</v>
      </c>
      <c r="D4" s="27"/>
      <c r="E4" s="29">
        <v>226</v>
      </c>
      <c r="F4" s="26">
        <v>203</v>
      </c>
      <c r="G4" s="26">
        <v>226</v>
      </c>
      <c r="H4" s="26">
        <v>220</v>
      </c>
      <c r="I4" s="26">
        <v>875</v>
      </c>
      <c r="J4" s="28"/>
      <c r="K4" s="26">
        <v>214</v>
      </c>
      <c r="L4" s="26">
        <v>237</v>
      </c>
      <c r="M4" s="26">
        <v>249</v>
      </c>
      <c r="N4" s="26">
        <v>256</v>
      </c>
      <c r="O4" s="26">
        <v>956</v>
      </c>
      <c r="Q4" s="29">
        <v>239</v>
      </c>
      <c r="R4" s="390">
        <v>257</v>
      </c>
      <c r="S4" s="390">
        <v>256</v>
      </c>
      <c r="T4" s="390">
        <v>283</v>
      </c>
      <c r="U4" s="512">
        <v>1035</v>
      </c>
      <c r="W4" s="518">
        <v>251</v>
      </c>
    </row>
    <row r="5" spans="1:23" ht="12" customHeight="1">
      <c r="A5" s="24" t="s">
        <v>74</v>
      </c>
      <c r="B5" s="25"/>
      <c r="C5" s="29">
        <v>29</v>
      </c>
      <c r="D5" s="27"/>
      <c r="E5" s="29">
        <v>14</v>
      </c>
      <c r="F5" s="26">
        <v>20</v>
      </c>
      <c r="G5" s="26">
        <v>29</v>
      </c>
      <c r="H5" s="26">
        <v>22</v>
      </c>
      <c r="I5" s="26">
        <v>85</v>
      </c>
      <c r="J5" s="28"/>
      <c r="K5" s="26">
        <v>23</v>
      </c>
      <c r="L5" s="26">
        <v>24</v>
      </c>
      <c r="M5" s="26">
        <v>38</v>
      </c>
      <c r="N5" s="26">
        <v>43</v>
      </c>
      <c r="O5" s="26">
        <v>128</v>
      </c>
      <c r="Q5" s="29">
        <v>38</v>
      </c>
      <c r="R5" s="390">
        <v>38</v>
      </c>
      <c r="S5" s="390">
        <v>36</v>
      </c>
      <c r="T5" s="390">
        <v>36</v>
      </c>
      <c r="U5" s="512">
        <v>148</v>
      </c>
      <c r="W5" s="520">
        <v>32</v>
      </c>
    </row>
    <row r="6" spans="1:23" ht="12" customHeight="1">
      <c r="A6" s="35" t="s">
        <v>185</v>
      </c>
      <c r="B6" s="36"/>
      <c r="C6" s="29">
        <v>32</v>
      </c>
      <c r="D6" s="27"/>
      <c r="E6" s="29">
        <v>0</v>
      </c>
      <c r="F6" s="26">
        <v>0</v>
      </c>
      <c r="G6" s="26">
        <v>194</v>
      </c>
      <c r="H6" s="26">
        <v>5078</v>
      </c>
      <c r="I6" s="26">
        <v>5272</v>
      </c>
      <c r="J6" s="28"/>
      <c r="K6" s="26">
        <v>57</v>
      </c>
      <c r="L6" s="26">
        <v>8</v>
      </c>
      <c r="M6" s="26">
        <v>5</v>
      </c>
      <c r="N6" s="26">
        <v>6127</v>
      </c>
      <c r="O6" s="26">
        <v>6197</v>
      </c>
      <c r="Q6" s="29">
        <v>0</v>
      </c>
      <c r="R6" s="390">
        <v>1</v>
      </c>
      <c r="S6" s="390">
        <v>0</v>
      </c>
      <c r="T6" s="390">
        <v>939</v>
      </c>
      <c r="U6" s="512">
        <v>940</v>
      </c>
      <c r="W6" s="521">
        <f>765-813</f>
        <v>-48</v>
      </c>
    </row>
    <row r="7" spans="1:23" ht="12" customHeight="1">
      <c r="A7" s="35" t="s">
        <v>227</v>
      </c>
      <c r="B7" s="36"/>
      <c r="C7" s="29" t="s">
        <v>225</v>
      </c>
      <c r="D7" s="27"/>
      <c r="E7" s="29" t="s">
        <v>225</v>
      </c>
      <c r="F7" s="26" t="s">
        <v>225</v>
      </c>
      <c r="G7" s="26" t="s">
        <v>225</v>
      </c>
      <c r="H7" s="26" t="s">
        <v>225</v>
      </c>
      <c r="I7" s="26" t="s">
        <v>225</v>
      </c>
      <c r="J7" s="28"/>
      <c r="K7" s="26" t="s">
        <v>225</v>
      </c>
      <c r="L7" s="26" t="s">
        <v>225</v>
      </c>
      <c r="M7" s="26" t="s">
        <v>225</v>
      </c>
      <c r="N7" s="26" t="s">
        <v>225</v>
      </c>
      <c r="O7" s="26" t="s">
        <v>225</v>
      </c>
      <c r="Q7" s="29" t="s">
        <v>225</v>
      </c>
      <c r="R7" s="390" t="s">
        <v>225</v>
      </c>
      <c r="S7" s="390" t="s">
        <v>225</v>
      </c>
      <c r="T7" s="390" t="s">
        <v>225</v>
      </c>
      <c r="U7" s="512" t="s">
        <v>225</v>
      </c>
      <c r="W7" s="521">
        <v>-113</v>
      </c>
    </row>
    <row r="8" spans="1:23" ht="12" customHeight="1">
      <c r="A8" s="24" t="s">
        <v>76</v>
      </c>
      <c r="B8" s="25"/>
      <c r="C8" s="29">
        <v>390</v>
      </c>
      <c r="D8" s="27">
        <v>390</v>
      </c>
      <c r="E8" s="29">
        <v>219</v>
      </c>
      <c r="F8" s="26">
        <v>-449</v>
      </c>
      <c r="G8" s="26">
        <v>-43</v>
      </c>
      <c r="H8" s="26">
        <v>-157</v>
      </c>
      <c r="I8" s="26">
        <v>-430</v>
      </c>
      <c r="J8" s="28"/>
      <c r="K8" s="26">
        <v>-440</v>
      </c>
      <c r="L8" s="26">
        <v>213</v>
      </c>
      <c r="M8" s="26">
        <v>-204</v>
      </c>
      <c r="N8" s="26">
        <v>238</v>
      </c>
      <c r="O8" s="26">
        <v>-193</v>
      </c>
      <c r="Q8" s="29">
        <v>178</v>
      </c>
      <c r="R8" s="390">
        <v>-451</v>
      </c>
      <c r="S8" s="390">
        <v>144</v>
      </c>
      <c r="T8" s="390">
        <v>-14</v>
      </c>
      <c r="U8" s="512">
        <f>30+152-67+43-2-299</f>
        <v>-143</v>
      </c>
      <c r="W8" s="518">
        <f>-315+113</f>
        <v>-202</v>
      </c>
    </row>
    <row r="9" spans="1:23" s="23" customFormat="1" ht="12" customHeight="1">
      <c r="A9" s="16" t="s">
        <v>77</v>
      </c>
      <c r="B9" s="17"/>
      <c r="C9" s="21">
        <v>1269</v>
      </c>
      <c r="D9" s="19"/>
      <c r="E9" s="21">
        <v>459</v>
      </c>
      <c r="F9" s="18">
        <v>-226</v>
      </c>
      <c r="G9" s="18">
        <v>406</v>
      </c>
      <c r="H9" s="18">
        <v>5163</v>
      </c>
      <c r="I9" s="18">
        <v>5802</v>
      </c>
      <c r="J9" s="20"/>
      <c r="K9" s="18">
        <v>-146</v>
      </c>
      <c r="L9" s="18">
        <v>482</v>
      </c>
      <c r="M9" s="18">
        <v>88</v>
      </c>
      <c r="N9" s="18">
        <v>6664</v>
      </c>
      <c r="O9" s="18">
        <v>7088</v>
      </c>
      <c r="P9" s="10"/>
      <c r="Q9" s="21">
        <f>+Q4+Q5+Q6+Q8</f>
        <v>455</v>
      </c>
      <c r="R9" s="389">
        <f>+R4+R5+R6+R8</f>
        <v>-155</v>
      </c>
      <c r="S9" s="389">
        <f>+S4+S5+S6+S8</f>
        <v>436</v>
      </c>
      <c r="T9" s="389">
        <f>+T4+T5+T6+T8</f>
        <v>1244</v>
      </c>
      <c r="U9" s="511">
        <f>U4+U5+U6+U8</f>
        <v>1980</v>
      </c>
      <c r="W9" s="522">
        <f>+W4+W5+W6+W7+W8</f>
        <v>-80</v>
      </c>
    </row>
    <row r="10" spans="1:23" ht="12" customHeight="1">
      <c r="A10" s="37" t="s">
        <v>78</v>
      </c>
      <c r="B10" s="38"/>
      <c r="C10" s="29">
        <v>-853</v>
      </c>
      <c r="D10" s="27"/>
      <c r="E10" s="29">
        <v>-225</v>
      </c>
      <c r="F10" s="26">
        <v>-206</v>
      </c>
      <c r="G10" s="26">
        <v>-225</v>
      </c>
      <c r="H10" s="26">
        <v>-224</v>
      </c>
      <c r="I10" s="26">
        <v>-880</v>
      </c>
      <c r="J10" s="28"/>
      <c r="K10" s="26">
        <v>-75</v>
      </c>
      <c r="L10" s="26">
        <v>-72</v>
      </c>
      <c r="M10" s="26">
        <v>-204</v>
      </c>
      <c r="N10" s="26">
        <v>-117</v>
      </c>
      <c r="O10" s="26">
        <v>-468</v>
      </c>
      <c r="Q10" s="29">
        <v>-414</v>
      </c>
      <c r="R10" s="390">
        <v>-270</v>
      </c>
      <c r="S10" s="390">
        <v>-111</v>
      </c>
      <c r="T10" s="390">
        <v>-139</v>
      </c>
      <c r="U10" s="512">
        <v>-934</v>
      </c>
      <c r="W10" s="521">
        <v>-144</v>
      </c>
    </row>
    <row r="11" spans="1:23" ht="12" customHeight="1">
      <c r="A11" s="37" t="s">
        <v>79</v>
      </c>
      <c r="B11" s="38"/>
      <c r="C11" s="29">
        <v>222</v>
      </c>
      <c r="D11" s="27"/>
      <c r="E11" s="29">
        <v>218</v>
      </c>
      <c r="F11" s="26">
        <v>221</v>
      </c>
      <c r="G11" s="26">
        <v>-13</v>
      </c>
      <c r="H11" s="26">
        <v>-131</v>
      </c>
      <c r="I11" s="26">
        <v>295</v>
      </c>
      <c r="J11" s="28"/>
      <c r="K11" s="26">
        <v>127</v>
      </c>
      <c r="L11" s="26">
        <v>-306</v>
      </c>
      <c r="M11" s="26">
        <v>137</v>
      </c>
      <c r="N11" s="26">
        <v>394</v>
      </c>
      <c r="O11" s="26">
        <v>352</v>
      </c>
      <c r="Q11" s="29">
        <v>-598</v>
      </c>
      <c r="R11" s="390">
        <v>-47</v>
      </c>
      <c r="S11" s="390">
        <v>-591</v>
      </c>
      <c r="T11" s="390">
        <v>116</v>
      </c>
      <c r="U11" s="512">
        <v>-1120</v>
      </c>
      <c r="W11" s="518">
        <v>-585</v>
      </c>
    </row>
    <row r="12" spans="1:23" ht="12" customHeight="1">
      <c r="A12" s="40" t="s">
        <v>80</v>
      </c>
      <c r="B12" s="41"/>
      <c r="C12" s="21">
        <v>4000</v>
      </c>
      <c r="D12" s="19"/>
      <c r="E12" s="21">
        <v>1157</v>
      </c>
      <c r="F12" s="18">
        <v>965</v>
      </c>
      <c r="G12" s="18">
        <v>689</v>
      </c>
      <c r="H12" s="18">
        <v>468</v>
      </c>
      <c r="I12" s="18">
        <v>3279</v>
      </c>
      <c r="J12" s="20"/>
      <c r="K12" s="18">
        <v>438</v>
      </c>
      <c r="L12" s="18">
        <v>604</v>
      </c>
      <c r="M12" s="18">
        <v>821</v>
      </c>
      <c r="N12" s="18">
        <v>1734</v>
      </c>
      <c r="O12" s="51">
        <v>3597</v>
      </c>
      <c r="Q12" s="21">
        <f>+Q3+Q9+Q10+Q11</f>
        <v>547</v>
      </c>
      <c r="R12" s="389">
        <f>+R3+R9+R10+R11</f>
        <v>253</v>
      </c>
      <c r="S12" s="389">
        <f>+S3+S9+S10+S11</f>
        <v>407</v>
      </c>
      <c r="T12" s="389">
        <f>+T3+T9+T10+T11</f>
        <v>873</v>
      </c>
      <c r="U12" s="511">
        <f>U3+U9+U10+U11</f>
        <v>2080</v>
      </c>
      <c r="W12" s="522">
        <f>+W3+W9+W10+W11</f>
        <v>-82</v>
      </c>
    </row>
    <row r="13" spans="1:23" ht="12" customHeight="1">
      <c r="A13" s="42"/>
      <c r="B13" s="17"/>
      <c r="C13" s="44"/>
      <c r="D13" s="19"/>
      <c r="E13" s="44"/>
      <c r="F13" s="43"/>
      <c r="G13" s="43"/>
      <c r="H13" s="43"/>
      <c r="I13" s="43"/>
      <c r="J13" s="20"/>
      <c r="K13" s="43"/>
      <c r="L13" s="43"/>
      <c r="M13" s="43"/>
      <c r="N13" s="43"/>
      <c r="O13" s="19"/>
      <c r="Q13" s="44"/>
      <c r="R13" s="391"/>
      <c r="S13" s="391"/>
      <c r="T13" s="391"/>
      <c r="U13" s="514"/>
      <c r="W13" s="518"/>
    </row>
    <row r="14" spans="1:23" ht="12" customHeight="1">
      <c r="A14" s="46" t="s">
        <v>81</v>
      </c>
      <c r="B14" s="25"/>
      <c r="C14" s="48">
        <v>-2179</v>
      </c>
      <c r="D14" s="27"/>
      <c r="E14" s="48">
        <v>-648</v>
      </c>
      <c r="F14" s="47">
        <v>-479</v>
      </c>
      <c r="G14" s="47">
        <v>-588</v>
      </c>
      <c r="H14" s="47">
        <v>-727</v>
      </c>
      <c r="I14" s="47">
        <v>-2442</v>
      </c>
      <c r="J14" s="28"/>
      <c r="K14" s="47">
        <v>-812</v>
      </c>
      <c r="L14" s="47">
        <v>-610</v>
      </c>
      <c r="M14" s="47">
        <v>-573</v>
      </c>
      <c r="N14" s="47">
        <v>-590</v>
      </c>
      <c r="O14" s="47">
        <v>-2585</v>
      </c>
      <c r="Q14" s="48">
        <v>-603</v>
      </c>
      <c r="R14" s="392">
        <v>-371</v>
      </c>
      <c r="S14" s="392">
        <v>-373</v>
      </c>
      <c r="T14" s="392">
        <v>-623</v>
      </c>
      <c r="U14" s="513">
        <v>-1970</v>
      </c>
      <c r="W14" s="521">
        <v>-556</v>
      </c>
    </row>
    <row r="15" spans="1:23" ht="12" customHeight="1">
      <c r="A15" s="24" t="s">
        <v>82</v>
      </c>
      <c r="B15" s="25"/>
      <c r="C15" s="29">
        <v>-24</v>
      </c>
      <c r="D15" s="27"/>
      <c r="E15" s="29">
        <v>-11</v>
      </c>
      <c r="F15" s="26">
        <v>-8</v>
      </c>
      <c r="G15" s="26">
        <v>-9</v>
      </c>
      <c r="H15" s="26">
        <v>-11</v>
      </c>
      <c r="I15" s="26">
        <v>-39</v>
      </c>
      <c r="J15" s="28"/>
      <c r="K15" s="26">
        <v>-8</v>
      </c>
      <c r="L15" s="26">
        <v>-1</v>
      </c>
      <c r="M15" s="26">
        <v>-3</v>
      </c>
      <c r="N15" s="26">
        <v>-7</v>
      </c>
      <c r="O15" s="26">
        <v>-19</v>
      </c>
      <c r="Q15" s="29">
        <v>-8</v>
      </c>
      <c r="R15" s="390">
        <v>-1</v>
      </c>
      <c r="S15" s="390">
        <v>-4</v>
      </c>
      <c r="T15" s="390">
        <v>-8</v>
      </c>
      <c r="U15" s="512">
        <v>-21</v>
      </c>
      <c r="W15" s="518">
        <v>-15</v>
      </c>
    </row>
    <row r="16" spans="1:23" ht="12" customHeight="1">
      <c r="A16" s="24" t="s">
        <v>186</v>
      </c>
      <c r="B16" s="25"/>
      <c r="C16" s="29">
        <v>-1597</v>
      </c>
      <c r="D16" s="27"/>
      <c r="E16" s="29">
        <v>-1155</v>
      </c>
      <c r="F16" s="26">
        <v>-2298</v>
      </c>
      <c r="G16" s="26">
        <v>-332</v>
      </c>
      <c r="H16" s="26">
        <v>-460</v>
      </c>
      <c r="I16" s="26">
        <v>-4245</v>
      </c>
      <c r="J16" s="28"/>
      <c r="K16" s="26">
        <v>-198</v>
      </c>
      <c r="L16" s="26">
        <v>-127</v>
      </c>
      <c r="M16" s="26">
        <v>-132</v>
      </c>
      <c r="N16" s="26">
        <v>-377</v>
      </c>
      <c r="O16" s="26">
        <v>-834</v>
      </c>
      <c r="Q16" s="29">
        <v>0</v>
      </c>
      <c r="R16" s="390">
        <v>-219</v>
      </c>
      <c r="S16" s="390">
        <v>0</v>
      </c>
      <c r="T16" s="390">
        <v>-271</v>
      </c>
      <c r="U16" s="512">
        <v>-490</v>
      </c>
      <c r="W16" s="520">
        <v>-5</v>
      </c>
    </row>
    <row r="17" spans="1:23" ht="12" customHeight="1">
      <c r="A17" s="24" t="s">
        <v>85</v>
      </c>
      <c r="B17" s="25"/>
      <c r="C17" s="29">
        <v>-28</v>
      </c>
      <c r="D17" s="19">
        <v>0</v>
      </c>
      <c r="E17" s="29">
        <v>-70</v>
      </c>
      <c r="F17" s="26">
        <v>-70</v>
      </c>
      <c r="G17" s="26">
        <v>-8</v>
      </c>
      <c r="H17" s="26">
        <v>2</v>
      </c>
      <c r="I17" s="26">
        <v>-146</v>
      </c>
      <c r="J17" s="28">
        <v>0</v>
      </c>
      <c r="K17" s="26">
        <v>-35</v>
      </c>
      <c r="L17" s="26">
        <v>-6</v>
      </c>
      <c r="M17" s="26">
        <v>-39</v>
      </c>
      <c r="N17" s="26">
        <v>28</v>
      </c>
      <c r="O17" s="26">
        <v>-52</v>
      </c>
      <c r="Q17" s="29">
        <v>-40</v>
      </c>
      <c r="R17" s="390">
        <v>16</v>
      </c>
      <c r="S17" s="390">
        <v>-21</v>
      </c>
      <c r="T17" s="390">
        <v>14</v>
      </c>
      <c r="U17" s="512">
        <f>-83+52</f>
        <v>-31</v>
      </c>
      <c r="W17" s="521">
        <v>-32</v>
      </c>
    </row>
    <row r="18" spans="1:23" ht="12" customHeight="1">
      <c r="A18" s="40" t="s">
        <v>86</v>
      </c>
      <c r="B18" s="41"/>
      <c r="C18" s="21">
        <f>SUM(C14:C17)</f>
        <v>-3828</v>
      </c>
      <c r="D18" s="19"/>
      <c r="E18" s="21">
        <f>SUM(E14:E17)</f>
        <v>-1884</v>
      </c>
      <c r="F18" s="18">
        <f>SUM(F14:F17)</f>
        <v>-2855</v>
      </c>
      <c r="G18" s="18">
        <f>SUM(G14:G17)</f>
        <v>-937</v>
      </c>
      <c r="H18" s="18">
        <f>SUM(H14:H17)</f>
        <v>-1196</v>
      </c>
      <c r="I18" s="18">
        <f>SUM(I14:I17)</f>
        <v>-6872</v>
      </c>
      <c r="J18" s="20"/>
      <c r="K18" s="18">
        <f>SUM(K14:K17)</f>
        <v>-1053</v>
      </c>
      <c r="L18" s="18">
        <f>SUM(L14:L17)</f>
        <v>-744</v>
      </c>
      <c r="M18" s="18">
        <f>SUM(M14:M17)</f>
        <v>-747</v>
      </c>
      <c r="N18" s="18">
        <f>SUM(N14:N17)</f>
        <v>-946</v>
      </c>
      <c r="O18" s="18">
        <f>SUM(O14:O17)</f>
        <v>-3490</v>
      </c>
      <c r="Q18" s="21">
        <f>SUM(Q14:Q17)</f>
        <v>-651</v>
      </c>
      <c r="R18" s="389">
        <f>SUM(R14:R17)</f>
        <v>-575</v>
      </c>
      <c r="S18" s="389">
        <f>SUM(S14:S17)</f>
        <v>-398</v>
      </c>
      <c r="T18" s="389">
        <f>SUM(T14:T17)</f>
        <v>-888</v>
      </c>
      <c r="U18" s="511">
        <f>U14+U15+U16+U17</f>
        <v>-2512</v>
      </c>
      <c r="W18" s="523">
        <f>SUM(W14:W17)</f>
        <v>-608</v>
      </c>
    </row>
    <row r="19" spans="1:23" ht="12" customHeight="1">
      <c r="A19" s="42"/>
      <c r="B19" s="17"/>
      <c r="C19" s="44"/>
      <c r="D19" s="19"/>
      <c r="E19" s="44"/>
      <c r="F19" s="43"/>
      <c r="G19" s="43"/>
      <c r="H19" s="43"/>
      <c r="I19" s="43"/>
      <c r="J19" s="20"/>
      <c r="K19" s="43"/>
      <c r="L19" s="43"/>
      <c r="M19" s="43"/>
      <c r="N19" s="43"/>
      <c r="O19" s="19"/>
      <c r="Q19" s="44"/>
      <c r="R19" s="391"/>
      <c r="S19" s="391"/>
      <c r="T19" s="391"/>
      <c r="U19" s="514"/>
      <c r="W19" s="518"/>
    </row>
    <row r="20" spans="1:23" ht="12" customHeight="1">
      <c r="A20" s="46" t="s">
        <v>87</v>
      </c>
      <c r="B20" s="25"/>
      <c r="C20" s="48">
        <v>1974</v>
      </c>
      <c r="D20" s="27"/>
      <c r="E20" s="48">
        <v>1137</v>
      </c>
      <c r="F20" s="47">
        <v>2261</v>
      </c>
      <c r="G20" s="47">
        <v>648</v>
      </c>
      <c r="H20" s="47">
        <v>910</v>
      </c>
      <c r="I20" s="47">
        <v>4956</v>
      </c>
      <c r="J20" s="28"/>
      <c r="K20" s="47">
        <v>1044</v>
      </c>
      <c r="L20" s="47">
        <v>870</v>
      </c>
      <c r="M20" s="47">
        <v>915</v>
      </c>
      <c r="N20" s="47">
        <v>369</v>
      </c>
      <c r="O20" s="47">
        <v>3198</v>
      </c>
      <c r="Q20" s="48">
        <v>761</v>
      </c>
      <c r="R20" s="392">
        <v>676</v>
      </c>
      <c r="S20" s="392">
        <v>198</v>
      </c>
      <c r="T20" s="392">
        <v>781</v>
      </c>
      <c r="U20" s="513">
        <v>2416</v>
      </c>
      <c r="W20" s="524">
        <v>1112</v>
      </c>
    </row>
    <row r="21" spans="1:23" ht="12" customHeight="1">
      <c r="A21" s="24" t="s">
        <v>88</v>
      </c>
      <c r="B21" s="25"/>
      <c r="C21" s="29">
        <v>-1135</v>
      </c>
      <c r="D21" s="27"/>
      <c r="E21" s="29">
        <v>0</v>
      </c>
      <c r="F21" s="26">
        <v>0</v>
      </c>
      <c r="G21" s="26">
        <v>-214</v>
      </c>
      <c r="H21" s="26">
        <v>-161</v>
      </c>
      <c r="I21" s="26">
        <v>-375</v>
      </c>
      <c r="J21" s="28"/>
      <c r="K21" s="26">
        <v>-325</v>
      </c>
      <c r="L21" s="26">
        <v>-593</v>
      </c>
      <c r="M21" s="26">
        <v>-813</v>
      </c>
      <c r="N21" s="26">
        <v>-870</v>
      </c>
      <c r="O21" s="26">
        <v>-2601</v>
      </c>
      <c r="Q21" s="29">
        <v>-733</v>
      </c>
      <c r="R21" s="390">
        <v>-774</v>
      </c>
      <c r="S21" s="390">
        <v>0</v>
      </c>
      <c r="T21" s="390">
        <v>-523</v>
      </c>
      <c r="U21" s="512">
        <v>-2030</v>
      </c>
      <c r="W21" s="521">
        <v>-481</v>
      </c>
    </row>
    <row r="22" spans="1:23" ht="12" customHeight="1">
      <c r="A22" s="24" t="s">
        <v>187</v>
      </c>
      <c r="B22" s="25"/>
      <c r="C22" s="29">
        <v>-1000</v>
      </c>
      <c r="D22" s="27"/>
      <c r="E22" s="29">
        <v>0</v>
      </c>
      <c r="F22" s="26">
        <v>-400</v>
      </c>
      <c r="G22" s="26">
        <v>0</v>
      </c>
      <c r="H22" s="26">
        <v>-400</v>
      </c>
      <c r="I22" s="26">
        <v>-800</v>
      </c>
      <c r="J22" s="28"/>
      <c r="K22" s="26">
        <v>0</v>
      </c>
      <c r="L22" s="26">
        <v>0</v>
      </c>
      <c r="M22" s="26">
        <v>-150</v>
      </c>
      <c r="N22" s="26">
        <v>-150</v>
      </c>
      <c r="O22" s="26">
        <v>-300</v>
      </c>
      <c r="Q22" s="29">
        <v>0</v>
      </c>
      <c r="R22" s="390">
        <v>0</v>
      </c>
      <c r="S22" s="390">
        <v>-100</v>
      </c>
      <c r="T22" s="390">
        <v>-100</v>
      </c>
      <c r="U22" s="512">
        <v>-200</v>
      </c>
      <c r="W22" s="518">
        <v>0</v>
      </c>
    </row>
    <row r="23" spans="1:23" ht="12" customHeight="1">
      <c r="A23" s="24" t="s">
        <v>90</v>
      </c>
      <c r="B23" s="25"/>
      <c r="C23" s="29">
        <v>-21</v>
      </c>
      <c r="D23" s="27"/>
      <c r="E23" s="29">
        <v>-13</v>
      </c>
      <c r="F23" s="26">
        <v>-15</v>
      </c>
      <c r="G23" s="26">
        <v>-28</v>
      </c>
      <c r="H23" s="26">
        <v>-19</v>
      </c>
      <c r="I23" s="26">
        <v>-75</v>
      </c>
      <c r="J23" s="28"/>
      <c r="K23" s="26">
        <v>-22</v>
      </c>
      <c r="L23" s="26">
        <v>-21</v>
      </c>
      <c r="M23" s="26">
        <v>-37</v>
      </c>
      <c r="N23" s="26">
        <v>-39</v>
      </c>
      <c r="O23" s="26">
        <v>-119</v>
      </c>
      <c r="Q23" s="29">
        <v>-36</v>
      </c>
      <c r="R23" s="390">
        <v>-34</v>
      </c>
      <c r="S23" s="390">
        <v>-34</v>
      </c>
      <c r="T23" s="390">
        <v>-34</v>
      </c>
      <c r="U23" s="512">
        <v>-138</v>
      </c>
      <c r="W23" s="518">
        <v>-30</v>
      </c>
    </row>
    <row r="24" spans="1:23" ht="12" customHeight="1">
      <c r="A24" s="24" t="s">
        <v>91</v>
      </c>
      <c r="B24" s="25"/>
      <c r="C24" s="29">
        <v>-40</v>
      </c>
      <c r="D24" s="27">
        <v>0</v>
      </c>
      <c r="E24" s="29">
        <v>0</v>
      </c>
      <c r="F24" s="26">
        <v>0</v>
      </c>
      <c r="G24" s="26">
        <v>0</v>
      </c>
      <c r="H24" s="26">
        <v>-23</v>
      </c>
      <c r="I24" s="26">
        <v>-23</v>
      </c>
      <c r="J24" s="28">
        <v>0</v>
      </c>
      <c r="K24" s="26">
        <v>0</v>
      </c>
      <c r="L24" s="26">
        <v>8</v>
      </c>
      <c r="M24" s="26">
        <v>0</v>
      </c>
      <c r="N24" s="26">
        <v>0</v>
      </c>
      <c r="O24" s="26">
        <v>8</v>
      </c>
      <c r="Q24" s="29">
        <v>0</v>
      </c>
      <c r="R24" s="390">
        <v>227</v>
      </c>
      <c r="S24" s="390">
        <v>-67</v>
      </c>
      <c r="T24" s="390">
        <v>0</v>
      </c>
      <c r="U24" s="512">
        <v>160</v>
      </c>
      <c r="W24" s="518">
        <v>60</v>
      </c>
    </row>
    <row r="25" spans="1:23" ht="12" customHeight="1">
      <c r="A25" s="40" t="s">
        <v>92</v>
      </c>
      <c r="B25" s="41"/>
      <c r="C25" s="21">
        <f>SUM(C20:C24)</f>
        <v>-222</v>
      </c>
      <c r="D25" s="27">
        <f aca="true" t="shared" si="0" ref="D25:I25">SUM(D20:D24)</f>
        <v>0</v>
      </c>
      <c r="E25" s="21">
        <f t="shared" si="0"/>
        <v>1124</v>
      </c>
      <c r="F25" s="18">
        <f t="shared" si="0"/>
        <v>1846</v>
      </c>
      <c r="G25" s="18">
        <f t="shared" si="0"/>
        <v>406</v>
      </c>
      <c r="H25" s="18">
        <f t="shared" si="0"/>
        <v>307</v>
      </c>
      <c r="I25" s="18">
        <f t="shared" si="0"/>
        <v>3683</v>
      </c>
      <c r="J25" s="20"/>
      <c r="K25" s="18">
        <f>SUM(K20:K24)</f>
        <v>697</v>
      </c>
      <c r="L25" s="18">
        <f>SUM(L20:L24)</f>
        <v>264</v>
      </c>
      <c r="M25" s="18">
        <f>SUM(M20:M24)</f>
        <v>-85</v>
      </c>
      <c r="N25" s="18">
        <f>SUM(N20:N24)</f>
        <v>-690</v>
      </c>
      <c r="O25" s="18">
        <f>SUM(O20:O24)</f>
        <v>186</v>
      </c>
      <c r="Q25" s="21">
        <f>SUM(Q20:Q24)</f>
        <v>-8</v>
      </c>
      <c r="R25" s="389">
        <f>SUM(R20:R24)</f>
        <v>95</v>
      </c>
      <c r="S25" s="389">
        <f>SUM(S20:S24)</f>
        <v>-3</v>
      </c>
      <c r="T25" s="389">
        <f>SUM(T20:T24)</f>
        <v>124</v>
      </c>
      <c r="U25" s="511">
        <f>U20+U21+U22+U23+U24</f>
        <v>208</v>
      </c>
      <c r="W25" s="523">
        <f>SUM(W20:W24)</f>
        <v>661</v>
      </c>
    </row>
    <row r="26" spans="1:23" ht="12" customHeight="1">
      <c r="A26" s="49"/>
      <c r="B26" s="41"/>
      <c r="C26" s="44"/>
      <c r="D26" s="19"/>
      <c r="E26" s="44"/>
      <c r="F26" s="43"/>
      <c r="G26" s="43"/>
      <c r="H26" s="43"/>
      <c r="I26" s="43"/>
      <c r="J26" s="20"/>
      <c r="K26" s="43"/>
      <c r="L26" s="43"/>
      <c r="M26" s="43"/>
      <c r="N26" s="43"/>
      <c r="O26" s="19"/>
      <c r="Q26" s="44"/>
      <c r="R26" s="391"/>
      <c r="S26" s="391"/>
      <c r="T26" s="391"/>
      <c r="U26" s="514"/>
      <c r="W26" s="518"/>
    </row>
    <row r="27" spans="1:23" ht="12" customHeight="1">
      <c r="A27" s="50" t="s">
        <v>93</v>
      </c>
      <c r="B27" s="41"/>
      <c r="C27" s="52">
        <f>C12+C18+C25</f>
        <v>-50</v>
      </c>
      <c r="D27" s="19"/>
      <c r="E27" s="52">
        <f>E12+E18+E25</f>
        <v>397</v>
      </c>
      <c r="F27" s="51">
        <f>F12+F18+F25</f>
        <v>-44</v>
      </c>
      <c r="G27" s="51">
        <f>G12+G18+G25</f>
        <v>158</v>
      </c>
      <c r="H27" s="51">
        <f>H12+H18+H25</f>
        <v>-421</v>
      </c>
      <c r="I27" s="51">
        <f>I12+I18+I25</f>
        <v>90</v>
      </c>
      <c r="J27" s="20"/>
      <c r="K27" s="51">
        <f>K12+K18+K25</f>
        <v>82</v>
      </c>
      <c r="L27" s="51">
        <f>L12+L18+L25</f>
        <v>124</v>
      </c>
      <c r="M27" s="51">
        <f>M12+M18+M25</f>
        <v>-11</v>
      </c>
      <c r="N27" s="51">
        <f>N12+N18+N25</f>
        <v>98</v>
      </c>
      <c r="O27" s="51">
        <f>O12+O18+O25</f>
        <v>293</v>
      </c>
      <c r="Q27" s="52">
        <f>Q12+Q18+Q25</f>
        <v>-112</v>
      </c>
      <c r="R27" s="393">
        <f>R12+R18+R25</f>
        <v>-227</v>
      </c>
      <c r="S27" s="393">
        <f>S12+S18+S25</f>
        <v>6</v>
      </c>
      <c r="T27" s="393">
        <v>109</v>
      </c>
      <c r="U27" s="515">
        <f>U12+U18+U25</f>
        <v>-224</v>
      </c>
      <c r="W27" s="519">
        <f>W12+W18+W25</f>
        <v>-29</v>
      </c>
    </row>
    <row r="28" spans="1:23" ht="12" customHeight="1">
      <c r="A28" s="37" t="s">
        <v>95</v>
      </c>
      <c r="B28" s="38"/>
      <c r="C28" s="29">
        <v>12</v>
      </c>
      <c r="D28" s="27"/>
      <c r="E28" s="29">
        <v>-16</v>
      </c>
      <c r="F28" s="26">
        <v>1</v>
      </c>
      <c r="G28" s="26">
        <v>-3</v>
      </c>
      <c r="H28" s="26">
        <v>1</v>
      </c>
      <c r="I28" s="26">
        <v>-17</v>
      </c>
      <c r="J28" s="28"/>
      <c r="K28" s="26">
        <v>21</v>
      </c>
      <c r="L28" s="26">
        <v>7</v>
      </c>
      <c r="M28" s="26">
        <v>-22</v>
      </c>
      <c r="N28" s="26">
        <v>25</v>
      </c>
      <c r="O28" s="26">
        <v>31</v>
      </c>
      <c r="Q28" s="29">
        <v>-25</v>
      </c>
      <c r="R28" s="390">
        <v>0</v>
      </c>
      <c r="S28" s="390">
        <v>0</v>
      </c>
      <c r="T28" s="390">
        <v>1</v>
      </c>
      <c r="U28" s="512">
        <v>-24</v>
      </c>
      <c r="W28" s="520">
        <v>10</v>
      </c>
    </row>
    <row r="29" spans="1:23" ht="12" customHeight="1">
      <c r="A29" s="37" t="s">
        <v>94</v>
      </c>
      <c r="B29" s="38"/>
      <c r="C29" s="21">
        <v>123</v>
      </c>
      <c r="D29" s="19"/>
      <c r="E29" s="394">
        <v>85</v>
      </c>
      <c r="F29" s="395">
        <v>466</v>
      </c>
      <c r="G29" s="395">
        <v>423</v>
      </c>
      <c r="H29" s="395">
        <v>578</v>
      </c>
      <c r="I29" s="395">
        <v>85</v>
      </c>
      <c r="J29" s="396"/>
      <c r="K29" s="395">
        <v>158</v>
      </c>
      <c r="L29" s="395">
        <v>261</v>
      </c>
      <c r="M29" s="395">
        <v>392</v>
      </c>
      <c r="N29" s="395">
        <v>359</v>
      </c>
      <c r="O29" s="395">
        <v>158</v>
      </c>
      <c r="Q29" s="21">
        <v>482</v>
      </c>
      <c r="R29" s="389">
        <v>345</v>
      </c>
      <c r="S29" s="389">
        <v>118</v>
      </c>
      <c r="T29" s="389">
        <v>124</v>
      </c>
      <c r="U29" s="511">
        <v>482</v>
      </c>
      <c r="W29" s="522">
        <v>234</v>
      </c>
    </row>
    <row r="30" spans="1:23" ht="12" customHeight="1">
      <c r="A30" s="40" t="s">
        <v>96</v>
      </c>
      <c r="B30" s="41"/>
      <c r="C30" s="21">
        <f>C27+C29+C28</f>
        <v>85</v>
      </c>
      <c r="D30" s="19"/>
      <c r="E30" s="21">
        <f>E27+E29+E28</f>
        <v>466</v>
      </c>
      <c r="F30" s="18">
        <f>F27+F29+F28</f>
        <v>423</v>
      </c>
      <c r="G30" s="18">
        <f>G27+G29+G28</f>
        <v>578</v>
      </c>
      <c r="H30" s="18">
        <f>H27+H29+H28</f>
        <v>158</v>
      </c>
      <c r="I30" s="18">
        <f>I27+I29+I28</f>
        <v>158</v>
      </c>
      <c r="J30" s="396"/>
      <c r="K30" s="18">
        <f aca="true" t="shared" si="1" ref="K30:S30">K27+K29+K28</f>
        <v>261</v>
      </c>
      <c r="L30" s="18">
        <f t="shared" si="1"/>
        <v>392</v>
      </c>
      <c r="M30" s="18">
        <f t="shared" si="1"/>
        <v>359</v>
      </c>
      <c r="N30" s="18">
        <f t="shared" si="1"/>
        <v>482</v>
      </c>
      <c r="O30" s="18">
        <f t="shared" si="1"/>
        <v>482</v>
      </c>
      <c r="P30" s="18">
        <f t="shared" si="1"/>
        <v>0</v>
      </c>
      <c r="Q30" s="21">
        <f t="shared" si="1"/>
        <v>345</v>
      </c>
      <c r="R30" s="18">
        <f t="shared" si="1"/>
        <v>118</v>
      </c>
      <c r="S30" s="18">
        <f t="shared" si="1"/>
        <v>124</v>
      </c>
      <c r="T30" s="18">
        <v>234</v>
      </c>
      <c r="U30" s="511">
        <v>234</v>
      </c>
      <c r="W30" s="522">
        <f>W27+W29+W28</f>
        <v>215</v>
      </c>
    </row>
    <row r="31" spans="1:21" ht="12.75">
      <c r="A31" s="53"/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Q31" s="55"/>
      <c r="R31" s="55"/>
      <c r="S31" s="55"/>
      <c r="T31" s="55"/>
      <c r="U31" s="55"/>
    </row>
    <row r="32" spans="1:21" ht="12.75">
      <c r="A32" s="53"/>
      <c r="B32" s="54"/>
      <c r="C32" s="56"/>
      <c r="D32" s="57"/>
      <c r="E32" s="57"/>
      <c r="F32" s="57"/>
      <c r="G32" s="57"/>
      <c r="H32" s="57"/>
      <c r="I32" s="56"/>
      <c r="J32" s="57"/>
      <c r="K32" s="57"/>
      <c r="L32" s="57"/>
      <c r="M32" s="57"/>
      <c r="N32" s="57"/>
      <c r="O32" s="56"/>
      <c r="Q32" s="57"/>
      <c r="R32" s="57"/>
      <c r="S32" s="57"/>
      <c r="T32" s="57"/>
      <c r="U32" s="57"/>
    </row>
    <row r="33" spans="1:21" ht="12.75">
      <c r="A33" s="53"/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Q33" s="55"/>
      <c r="R33" s="55"/>
      <c r="S33" s="55"/>
      <c r="T33" s="55"/>
      <c r="U33" s="55"/>
    </row>
    <row r="34" spans="1:21" ht="12.75">
      <c r="A34" s="53"/>
      <c r="B34" s="54"/>
      <c r="C34" s="55"/>
      <c r="D34" s="397"/>
      <c r="E34" s="397"/>
      <c r="F34" s="397"/>
      <c r="G34" s="397"/>
      <c r="H34" s="397"/>
      <c r="I34" s="55"/>
      <c r="J34" s="397"/>
      <c r="K34" s="397"/>
      <c r="L34" s="397"/>
      <c r="M34" s="397"/>
      <c r="N34" s="397"/>
      <c r="O34" s="55"/>
      <c r="Q34" s="397"/>
      <c r="R34" s="397"/>
      <c r="S34" s="397"/>
      <c r="T34" s="397"/>
      <c r="U34" s="39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K51"/>
  <sheetViews>
    <sheetView zoomScale="110" zoomScaleNormal="110" zoomScalePageLayoutView="0" workbookViewId="0" topLeftCell="A1">
      <selection activeCell="S22" sqref="S22"/>
    </sheetView>
  </sheetViews>
  <sheetFormatPr defaultColWidth="9.140625" defaultRowHeight="12.75"/>
  <cols>
    <col min="1" max="1" width="52.28125" style="269" customWidth="1"/>
    <col min="2" max="2" width="0.9921875" style="253" customWidth="1"/>
    <col min="3" max="3" width="11.7109375" style="1" customWidth="1"/>
    <col min="4" max="4" width="0.9921875" style="229" customWidth="1"/>
    <col min="5" max="5" width="11.7109375" style="230" customWidth="1"/>
    <col min="6" max="6" width="0.9921875" style="231" customWidth="1"/>
    <col min="7" max="9" width="11.7109375" style="230" customWidth="1"/>
    <col min="10" max="10" width="11.7109375" style="1" customWidth="1"/>
    <col min="11" max="11" width="0.9921875" style="231" customWidth="1"/>
    <col min="12" max="15" width="8.8515625" style="231" customWidth="1"/>
    <col min="16" max="16" width="0.85546875" style="231" customWidth="1"/>
    <col min="17" max="89" width="8.8515625" style="231" customWidth="1"/>
    <col min="90" max="16384" width="8.8515625" style="230" customWidth="1"/>
  </cols>
  <sheetData>
    <row r="1" spans="1:2" ht="15" thickBot="1">
      <c r="A1" s="6" t="s">
        <v>147</v>
      </c>
      <c r="B1" s="9"/>
    </row>
    <row r="2" spans="1:89" s="235" customFormat="1" ht="12" customHeight="1" thickBot="1">
      <c r="A2" s="232"/>
      <c r="B2" s="232"/>
      <c r="C2" s="63">
        <v>2014</v>
      </c>
      <c r="D2" s="64">
        <v>2015</v>
      </c>
      <c r="E2" s="233">
        <v>2015</v>
      </c>
      <c r="F2" s="64"/>
      <c r="G2" s="233" t="s">
        <v>13</v>
      </c>
      <c r="H2" s="233" t="s">
        <v>14</v>
      </c>
      <c r="I2" s="233" t="s">
        <v>15</v>
      </c>
      <c r="J2" s="64">
        <v>2016</v>
      </c>
      <c r="K2" s="64"/>
      <c r="L2" s="233" t="s">
        <v>63</v>
      </c>
      <c r="M2" s="233" t="s">
        <v>64</v>
      </c>
      <c r="N2" s="233" t="s">
        <v>68</v>
      </c>
      <c r="O2" s="233">
        <v>2017</v>
      </c>
      <c r="P2" s="234"/>
      <c r="Q2" s="233" t="s">
        <v>224</v>
      </c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4"/>
      <c r="BM2" s="234"/>
      <c r="BN2" s="234"/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4"/>
      <c r="CC2" s="234"/>
      <c r="CD2" s="234"/>
      <c r="CE2" s="234"/>
      <c r="CF2" s="234"/>
      <c r="CG2" s="234"/>
      <c r="CH2" s="234"/>
      <c r="CI2" s="234"/>
      <c r="CJ2" s="234"/>
      <c r="CK2" s="234"/>
    </row>
    <row r="3" spans="1:89" s="235" customFormat="1" ht="12" customHeight="1" thickBot="1">
      <c r="A3" s="200" t="s">
        <v>102</v>
      </c>
      <c r="B3" s="199"/>
      <c r="C3" s="236"/>
      <c r="D3" s="237"/>
      <c r="E3" s="238"/>
      <c r="F3" s="239"/>
      <c r="G3" s="238"/>
      <c r="H3" s="240"/>
      <c r="I3" s="240"/>
      <c r="J3" s="241"/>
      <c r="K3" s="239"/>
      <c r="L3" s="242"/>
      <c r="M3" s="243"/>
      <c r="N3" s="243"/>
      <c r="O3" s="243"/>
      <c r="P3" s="234"/>
      <c r="Q3" s="39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234"/>
      <c r="BY3" s="234"/>
      <c r="BZ3" s="234"/>
      <c r="CA3" s="234"/>
      <c r="CB3" s="234"/>
      <c r="CC3" s="234"/>
      <c r="CD3" s="234"/>
      <c r="CE3" s="234"/>
      <c r="CF3" s="234"/>
      <c r="CG3" s="234"/>
      <c r="CH3" s="234"/>
      <c r="CI3" s="234"/>
      <c r="CJ3" s="234"/>
      <c r="CK3" s="234"/>
    </row>
    <row r="4" spans="1:89" s="251" customFormat="1" ht="12" customHeight="1">
      <c r="A4" s="244" t="s">
        <v>103</v>
      </c>
      <c r="B4" s="245"/>
      <c r="C4" s="236">
        <v>11335</v>
      </c>
      <c r="D4" s="246"/>
      <c r="E4" s="247">
        <v>12845</v>
      </c>
      <c r="F4" s="248"/>
      <c r="G4" s="247">
        <v>13219</v>
      </c>
      <c r="H4" s="249">
        <v>13602</v>
      </c>
      <c r="I4" s="249">
        <v>13893</v>
      </c>
      <c r="J4" s="241">
        <v>14379</v>
      </c>
      <c r="K4" s="248"/>
      <c r="L4" s="250">
        <v>14542</v>
      </c>
      <c r="M4" s="243">
        <v>14676</v>
      </c>
      <c r="N4" s="243">
        <v>14857</v>
      </c>
      <c r="O4" s="243">
        <v>15355</v>
      </c>
      <c r="P4" s="234"/>
      <c r="Q4" s="516">
        <v>15373</v>
      </c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4"/>
      <c r="BT4" s="234"/>
      <c r="BU4" s="234"/>
      <c r="BV4" s="234"/>
      <c r="BW4" s="234"/>
      <c r="BX4" s="234"/>
      <c r="BY4" s="234"/>
      <c r="BZ4" s="234"/>
      <c r="CA4" s="234"/>
      <c r="CB4" s="234"/>
      <c r="CC4" s="234"/>
      <c r="CD4" s="234"/>
      <c r="CE4" s="234"/>
      <c r="CF4" s="234"/>
      <c r="CG4" s="234"/>
      <c r="CH4" s="234"/>
      <c r="CI4" s="234"/>
      <c r="CJ4" s="234"/>
      <c r="CK4" s="234"/>
    </row>
    <row r="5" spans="1:89" s="251" customFormat="1" ht="12" customHeight="1">
      <c r="A5" s="244" t="s">
        <v>104</v>
      </c>
      <c r="B5" s="245"/>
      <c r="C5" s="236">
        <v>490</v>
      </c>
      <c r="D5" s="246"/>
      <c r="E5" s="247">
        <v>541</v>
      </c>
      <c r="F5" s="248"/>
      <c r="G5" s="247">
        <v>563</v>
      </c>
      <c r="H5" s="249">
        <v>564</v>
      </c>
      <c r="I5" s="249">
        <v>601</v>
      </c>
      <c r="J5" s="241">
        <v>507</v>
      </c>
      <c r="K5" s="248"/>
      <c r="L5" s="250">
        <v>526</v>
      </c>
      <c r="M5" s="243">
        <v>531</v>
      </c>
      <c r="N5" s="243">
        <v>547</v>
      </c>
      <c r="O5" s="243">
        <v>507</v>
      </c>
      <c r="P5" s="234"/>
      <c r="Q5" s="7">
        <v>532</v>
      </c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  <c r="BE5" s="234"/>
      <c r="BF5" s="234"/>
      <c r="BG5" s="234"/>
      <c r="BH5" s="234"/>
      <c r="BI5" s="234"/>
      <c r="BJ5" s="234"/>
      <c r="BK5" s="234"/>
      <c r="BL5" s="234"/>
      <c r="BM5" s="234"/>
      <c r="BN5" s="234"/>
      <c r="BO5" s="234"/>
      <c r="BP5" s="234"/>
      <c r="BQ5" s="234"/>
      <c r="BR5" s="234"/>
      <c r="BS5" s="234"/>
      <c r="BT5" s="234"/>
      <c r="BU5" s="234"/>
      <c r="BV5" s="234"/>
      <c r="BW5" s="234"/>
      <c r="BX5" s="234"/>
      <c r="BY5" s="234"/>
      <c r="BZ5" s="234"/>
      <c r="CA5" s="234"/>
      <c r="CB5" s="234"/>
      <c r="CC5" s="234"/>
      <c r="CD5" s="234"/>
      <c r="CE5" s="234"/>
      <c r="CF5" s="234"/>
      <c r="CG5" s="234"/>
      <c r="CH5" s="234"/>
      <c r="CI5" s="234"/>
      <c r="CJ5" s="234"/>
      <c r="CK5" s="234"/>
    </row>
    <row r="6" spans="1:89" s="251" customFormat="1" ht="12" customHeight="1">
      <c r="A6" s="252" t="s">
        <v>105</v>
      </c>
      <c r="B6" s="253"/>
      <c r="C6" s="247">
        <f>+C4+C5</f>
        <v>11825</v>
      </c>
      <c r="D6" s="246"/>
      <c r="E6" s="247">
        <f>+E4+E5</f>
        <v>13386</v>
      </c>
      <c r="F6" s="248"/>
      <c r="G6" s="247">
        <f>+G4+G5</f>
        <v>13782</v>
      </c>
      <c r="H6" s="249">
        <f>+H4+H5</f>
        <v>14166</v>
      </c>
      <c r="I6" s="249">
        <f>+I4+I5</f>
        <v>14494</v>
      </c>
      <c r="J6" s="241">
        <f>+J4+J5</f>
        <v>14886</v>
      </c>
      <c r="K6" s="248"/>
      <c r="L6" s="250">
        <f>+L4+L5</f>
        <v>15068</v>
      </c>
      <c r="M6" s="243">
        <f>+M4+M5</f>
        <v>15207</v>
      </c>
      <c r="N6" s="243">
        <f>+N4+N5</f>
        <v>15404</v>
      </c>
      <c r="O6" s="243">
        <f>+O4+O5</f>
        <v>15862</v>
      </c>
      <c r="P6" s="234"/>
      <c r="Q6" s="39">
        <f>+Q4+Q5</f>
        <v>15905</v>
      </c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/>
      <c r="BL6" s="234"/>
      <c r="BM6" s="234"/>
      <c r="BN6" s="234"/>
      <c r="BO6" s="234"/>
      <c r="BP6" s="234"/>
      <c r="BQ6" s="234"/>
      <c r="BR6" s="234"/>
      <c r="BS6" s="234"/>
      <c r="BT6" s="234"/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</row>
    <row r="7" spans="1:89" s="251" customFormat="1" ht="12" customHeight="1">
      <c r="A7" s="244" t="s">
        <v>106</v>
      </c>
      <c r="B7" s="245"/>
      <c r="C7" s="236">
        <v>227</v>
      </c>
      <c r="D7" s="246"/>
      <c r="E7" s="247">
        <v>233</v>
      </c>
      <c r="F7" s="248"/>
      <c r="G7" s="247">
        <v>228</v>
      </c>
      <c r="H7" s="249">
        <v>225</v>
      </c>
      <c r="I7" s="249">
        <v>226</v>
      </c>
      <c r="J7" s="241">
        <v>77</v>
      </c>
      <c r="K7" s="248"/>
      <c r="L7" s="250">
        <v>72</v>
      </c>
      <c r="M7" s="243">
        <v>69</v>
      </c>
      <c r="N7" s="243">
        <v>67</v>
      </c>
      <c r="O7" s="243">
        <v>75</v>
      </c>
      <c r="P7" s="234"/>
      <c r="Q7" s="516">
        <v>71</v>
      </c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</row>
    <row r="8" spans="1:89" s="251" customFormat="1" ht="12" customHeight="1">
      <c r="A8" s="244" t="s">
        <v>107</v>
      </c>
      <c r="B8" s="245"/>
      <c r="C8" s="236">
        <v>21</v>
      </c>
      <c r="D8" s="246"/>
      <c r="E8" s="247">
        <v>24</v>
      </c>
      <c r="F8" s="248"/>
      <c r="G8" s="247">
        <v>22</v>
      </c>
      <c r="H8" s="249">
        <v>22</v>
      </c>
      <c r="I8" s="249">
        <v>20</v>
      </c>
      <c r="J8" s="241">
        <v>24</v>
      </c>
      <c r="K8" s="248"/>
      <c r="L8" s="250">
        <v>23</v>
      </c>
      <c r="M8" s="243">
        <v>22</v>
      </c>
      <c r="N8" s="243">
        <v>22</v>
      </c>
      <c r="O8" s="243">
        <v>34</v>
      </c>
      <c r="P8" s="234"/>
      <c r="Q8" s="7">
        <v>32</v>
      </c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</row>
    <row r="9" spans="1:89" s="251" customFormat="1" ht="12" customHeight="1">
      <c r="A9" s="252" t="s">
        <v>148</v>
      </c>
      <c r="B9" s="253"/>
      <c r="C9" s="247">
        <f>+C7+C8</f>
        <v>248</v>
      </c>
      <c r="D9" s="246"/>
      <c r="E9" s="247">
        <f>+E7+E8</f>
        <v>257</v>
      </c>
      <c r="F9" s="248"/>
      <c r="G9" s="247">
        <f>+G7+G8</f>
        <v>250</v>
      </c>
      <c r="H9" s="249">
        <f>+H7+H8</f>
        <v>247</v>
      </c>
      <c r="I9" s="249">
        <f>+I7+I8</f>
        <v>246</v>
      </c>
      <c r="J9" s="241">
        <f>+J7+J8</f>
        <v>101</v>
      </c>
      <c r="K9" s="248"/>
      <c r="L9" s="250">
        <f>+L7+L8</f>
        <v>95</v>
      </c>
      <c r="M9" s="243">
        <f>+M7+M8</f>
        <v>91</v>
      </c>
      <c r="N9" s="243">
        <f>+N7+N8</f>
        <v>89</v>
      </c>
      <c r="O9" s="243">
        <f>+O7+O8</f>
        <v>109</v>
      </c>
      <c r="P9" s="234"/>
      <c r="Q9" s="39">
        <f>+Q7+Q8</f>
        <v>103</v>
      </c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</row>
    <row r="10" spans="1:89" s="251" customFormat="1" ht="12" customHeight="1">
      <c r="A10" s="252" t="s">
        <v>149</v>
      </c>
      <c r="B10" s="253"/>
      <c r="C10" s="236">
        <v>11778</v>
      </c>
      <c r="D10" s="246"/>
      <c r="E10" s="247">
        <v>6858</v>
      </c>
      <c r="F10" s="248"/>
      <c r="G10" s="247">
        <v>6859</v>
      </c>
      <c r="H10" s="249">
        <v>6863</v>
      </c>
      <c r="I10" s="249">
        <v>6858</v>
      </c>
      <c r="J10" s="241">
        <v>2002</v>
      </c>
      <c r="K10" s="248"/>
      <c r="L10" s="250">
        <v>2002</v>
      </c>
      <c r="M10" s="243">
        <v>3370</v>
      </c>
      <c r="N10" s="243">
        <v>3361</v>
      </c>
      <c r="O10" s="243">
        <v>3013</v>
      </c>
      <c r="P10" s="234"/>
      <c r="Q10" s="516">
        <v>3013</v>
      </c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</row>
    <row r="11" spans="1:89" s="251" customFormat="1" ht="12" customHeight="1">
      <c r="A11" s="244" t="s">
        <v>150</v>
      </c>
      <c r="B11" s="245"/>
      <c r="C11" s="236">
        <v>2042</v>
      </c>
      <c r="D11" s="246"/>
      <c r="E11" s="247">
        <v>6750</v>
      </c>
      <c r="F11" s="248"/>
      <c r="G11" s="247">
        <v>6766</v>
      </c>
      <c r="H11" s="249">
        <v>7375</v>
      </c>
      <c r="I11" s="249">
        <v>7362</v>
      </c>
      <c r="J11" s="241">
        <v>7310</v>
      </c>
      <c r="K11" s="248"/>
      <c r="L11" s="250">
        <v>6996</v>
      </c>
      <c r="M11" s="243">
        <v>5511</v>
      </c>
      <c r="N11" s="243">
        <v>5505</v>
      </c>
      <c r="O11" s="243">
        <v>4972</v>
      </c>
      <c r="P11" s="234"/>
      <c r="Q11" s="7">
        <v>4780</v>
      </c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</row>
    <row r="12" spans="1:89" s="251" customFormat="1" ht="12" customHeight="1">
      <c r="A12" s="244" t="s">
        <v>112</v>
      </c>
      <c r="B12" s="245"/>
      <c r="C12" s="236">
        <v>190</v>
      </c>
      <c r="D12" s="246"/>
      <c r="E12" s="247">
        <v>117</v>
      </c>
      <c r="F12" s="248"/>
      <c r="G12" s="247">
        <v>132</v>
      </c>
      <c r="H12" s="249">
        <v>67</v>
      </c>
      <c r="I12" s="249">
        <v>57</v>
      </c>
      <c r="J12" s="241">
        <v>237</v>
      </c>
      <c r="K12" s="248"/>
      <c r="L12" s="250">
        <v>162</v>
      </c>
      <c r="M12" s="243">
        <v>137</v>
      </c>
      <c r="N12" s="243">
        <v>182</v>
      </c>
      <c r="O12" s="243">
        <v>109</v>
      </c>
      <c r="P12" s="234"/>
      <c r="Q12" s="39">
        <v>212</v>
      </c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</row>
    <row r="13" spans="1:89" s="251" customFormat="1" ht="12" customHeight="1">
      <c r="A13" s="244" t="s">
        <v>151</v>
      </c>
      <c r="B13" s="245"/>
      <c r="C13" s="236">
        <v>931</v>
      </c>
      <c r="D13" s="246"/>
      <c r="E13" s="247">
        <v>579</v>
      </c>
      <c r="F13" s="248"/>
      <c r="G13" s="247">
        <v>602</v>
      </c>
      <c r="H13" s="249">
        <v>571</v>
      </c>
      <c r="I13" s="249">
        <v>527</v>
      </c>
      <c r="J13" s="241">
        <v>576</v>
      </c>
      <c r="K13" s="248"/>
      <c r="L13" s="250">
        <v>676</v>
      </c>
      <c r="M13" s="243">
        <v>712</v>
      </c>
      <c r="N13" s="243">
        <v>741</v>
      </c>
      <c r="O13" s="243">
        <v>613</v>
      </c>
      <c r="P13" s="234"/>
      <c r="Q13" s="516">
        <v>534</v>
      </c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</row>
    <row r="14" spans="1:89" s="251" customFormat="1" ht="12" customHeight="1">
      <c r="A14" s="244" t="s">
        <v>113</v>
      </c>
      <c r="B14" s="245"/>
      <c r="C14" s="236">
        <v>266</v>
      </c>
      <c r="D14" s="246"/>
      <c r="E14" s="247">
        <v>291</v>
      </c>
      <c r="F14" s="248"/>
      <c r="G14" s="247">
        <v>317</v>
      </c>
      <c r="H14" s="249">
        <v>318</v>
      </c>
      <c r="I14" s="249">
        <v>319</v>
      </c>
      <c r="J14" s="241">
        <v>320</v>
      </c>
      <c r="K14" s="248"/>
      <c r="L14" s="250">
        <v>346</v>
      </c>
      <c r="M14" s="243">
        <v>346</v>
      </c>
      <c r="N14" s="243">
        <v>348</v>
      </c>
      <c r="O14" s="243">
        <v>337</v>
      </c>
      <c r="P14" s="234"/>
      <c r="Q14" s="516">
        <v>375</v>
      </c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</row>
    <row r="15" spans="1:89" s="251" customFormat="1" ht="12" customHeight="1">
      <c r="A15" s="252" t="s">
        <v>114</v>
      </c>
      <c r="B15" s="253"/>
      <c r="C15" s="247">
        <f>+C12+C13+C14+C11</f>
        <v>3429</v>
      </c>
      <c r="D15" s="246"/>
      <c r="E15" s="247">
        <f>+E12+E13+E14+E11</f>
        <v>7737</v>
      </c>
      <c r="F15" s="248"/>
      <c r="G15" s="247">
        <f>+G12+G13+G14+G11</f>
        <v>7817</v>
      </c>
      <c r="H15" s="249">
        <f>+H12+H13+H14+H11</f>
        <v>8331</v>
      </c>
      <c r="I15" s="249">
        <f>+I12+I13+I14+I11</f>
        <v>8265</v>
      </c>
      <c r="J15" s="241">
        <f>+J12+J13+J14+J11</f>
        <v>8443</v>
      </c>
      <c r="K15" s="248"/>
      <c r="L15" s="250">
        <f>+L12+L13+L14+L11</f>
        <v>8180</v>
      </c>
      <c r="M15" s="243">
        <f>+M12+M13+M14+M11</f>
        <v>6706</v>
      </c>
      <c r="N15" s="243">
        <f>+N12+N13+N14+N11</f>
        <v>6776</v>
      </c>
      <c r="O15" s="243">
        <f>+O12+O13+O14+O11</f>
        <v>6031</v>
      </c>
      <c r="P15" s="234"/>
      <c r="Q15" s="7">
        <f>+Q12+Q13+Q14+Q11</f>
        <v>5901</v>
      </c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</row>
    <row r="16" spans="1:89" s="251" customFormat="1" ht="12" customHeight="1">
      <c r="A16" s="252" t="s">
        <v>152</v>
      </c>
      <c r="B16" s="253"/>
      <c r="C16" s="236">
        <v>48</v>
      </c>
      <c r="D16" s="246"/>
      <c r="E16" s="247">
        <v>27</v>
      </c>
      <c r="F16" s="248"/>
      <c r="G16" s="247">
        <v>19</v>
      </c>
      <c r="H16" s="249">
        <v>20</v>
      </c>
      <c r="I16" s="249">
        <v>23</v>
      </c>
      <c r="J16" s="241">
        <v>22</v>
      </c>
      <c r="K16" s="248"/>
      <c r="L16" s="250">
        <v>25</v>
      </c>
      <c r="M16" s="243">
        <v>27</v>
      </c>
      <c r="N16" s="243">
        <v>24</v>
      </c>
      <c r="O16" s="243">
        <v>25</v>
      </c>
      <c r="P16" s="234"/>
      <c r="Q16" s="39">
        <v>24</v>
      </c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</row>
    <row r="17" spans="1:89" s="251" customFormat="1" ht="12" customHeight="1">
      <c r="A17" s="252" t="s">
        <v>115</v>
      </c>
      <c r="B17" s="253"/>
      <c r="C17" s="236">
        <v>111</v>
      </c>
      <c r="D17" s="246"/>
      <c r="E17" s="247">
        <v>141</v>
      </c>
      <c r="F17" s="248"/>
      <c r="G17" s="247">
        <v>145</v>
      </c>
      <c r="H17" s="249">
        <v>197</v>
      </c>
      <c r="I17" s="249">
        <v>108</v>
      </c>
      <c r="J17" s="241">
        <v>140</v>
      </c>
      <c r="K17" s="248"/>
      <c r="L17" s="250">
        <v>129</v>
      </c>
      <c r="M17" s="243">
        <v>57</v>
      </c>
      <c r="N17" s="243">
        <v>30</v>
      </c>
      <c r="O17" s="243">
        <v>31</v>
      </c>
      <c r="P17" s="234"/>
      <c r="Q17" s="516">
        <v>110</v>
      </c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4"/>
      <c r="BY17" s="234"/>
      <c r="BZ17" s="234"/>
      <c r="CA17" s="234"/>
      <c r="CB17" s="234"/>
      <c r="CC17" s="234"/>
      <c r="CD17" s="234"/>
      <c r="CE17" s="234"/>
      <c r="CF17" s="234"/>
      <c r="CG17" s="234"/>
      <c r="CH17" s="234"/>
      <c r="CI17" s="234"/>
      <c r="CJ17" s="234"/>
      <c r="CK17" s="234"/>
    </row>
    <row r="18" spans="1:89" s="251" customFormat="1" ht="12" customHeight="1">
      <c r="A18" s="200" t="s">
        <v>117</v>
      </c>
      <c r="B18" s="199"/>
      <c r="C18" s="254">
        <f>+C6+C9+C10+C12+C13+C14+C17+C16+C11</f>
        <v>27439</v>
      </c>
      <c r="D18" s="255"/>
      <c r="E18" s="254">
        <f>+E6+E9+E10+E12+E13+E14+E17+E16+E11</f>
        <v>28406</v>
      </c>
      <c r="F18" s="256"/>
      <c r="G18" s="254">
        <f>+G6+G9+G10+G12+G13+G14+G17+G16+G11</f>
        <v>28872</v>
      </c>
      <c r="H18" s="257">
        <f>+H6+H9+H10+H12+H13+H14+H17+H16+H11</f>
        <v>29824</v>
      </c>
      <c r="I18" s="257">
        <f>+I6+I9+I10+I12+I13+I14+I17+I16+I11</f>
        <v>29994</v>
      </c>
      <c r="J18" s="258">
        <f>+J6+J9+J10+J12+J13+J14+J17+J16+J11</f>
        <v>25594</v>
      </c>
      <c r="K18" s="256"/>
      <c r="L18" s="259">
        <f>+L6+L9+L10+L12+L13+L14+L17+L16+L11</f>
        <v>25499</v>
      </c>
      <c r="M18" s="260">
        <f>+M6+M9+M10+M12+M13+M14+M17+M16+M11</f>
        <v>25458</v>
      </c>
      <c r="N18" s="260">
        <f>+N6+N9+N10+N12+N13+N14+N17+N16+N11</f>
        <v>25684</v>
      </c>
      <c r="O18" s="260">
        <f>+O6+O9+O10+O12+O13+O14+O17+O16+O11</f>
        <v>25071</v>
      </c>
      <c r="P18" s="234"/>
      <c r="Q18" s="3">
        <f>+Q6+Q9+Q10+Q12+Q13+Q14+Q17+Q16+Q11</f>
        <v>25056</v>
      </c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4"/>
      <c r="CE18" s="234"/>
      <c r="CF18" s="234"/>
      <c r="CG18" s="234"/>
      <c r="CH18" s="234"/>
      <c r="CI18" s="234"/>
      <c r="CJ18" s="234"/>
      <c r="CK18" s="234"/>
    </row>
    <row r="19" spans="1:89" s="251" customFormat="1" ht="12" customHeight="1">
      <c r="A19" s="252" t="s">
        <v>118</v>
      </c>
      <c r="B19" s="253"/>
      <c r="C19" s="236">
        <v>2377</v>
      </c>
      <c r="D19" s="246"/>
      <c r="E19" s="247">
        <v>2601</v>
      </c>
      <c r="F19" s="248"/>
      <c r="G19" s="247">
        <v>3156</v>
      </c>
      <c r="H19" s="249">
        <v>3261</v>
      </c>
      <c r="I19" s="249">
        <v>3408</v>
      </c>
      <c r="J19" s="241">
        <v>2726</v>
      </c>
      <c r="K19" s="248"/>
      <c r="L19" s="250">
        <v>3472</v>
      </c>
      <c r="M19" s="243">
        <v>3783</v>
      </c>
      <c r="N19" s="243">
        <v>4154</v>
      </c>
      <c r="O19" s="243">
        <v>3857</v>
      </c>
      <c r="P19" s="234"/>
      <c r="Q19" s="7">
        <v>4651</v>
      </c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234"/>
      <c r="BY19" s="234"/>
      <c r="BZ19" s="234"/>
      <c r="CA19" s="234"/>
      <c r="CB19" s="234"/>
      <c r="CC19" s="234"/>
      <c r="CD19" s="234"/>
      <c r="CE19" s="234"/>
      <c r="CF19" s="234"/>
      <c r="CG19" s="234"/>
      <c r="CH19" s="234"/>
      <c r="CI19" s="234"/>
      <c r="CJ19" s="234"/>
      <c r="CK19" s="234"/>
    </row>
    <row r="20" spans="1:89" s="251" customFormat="1" ht="12" customHeight="1">
      <c r="A20" s="252" t="s">
        <v>119</v>
      </c>
      <c r="B20" s="253"/>
      <c r="C20" s="236">
        <v>1407</v>
      </c>
      <c r="D20" s="246"/>
      <c r="E20" s="247">
        <v>1000</v>
      </c>
      <c r="F20" s="248"/>
      <c r="G20" s="247">
        <v>511</v>
      </c>
      <c r="H20" s="249">
        <v>629</v>
      </c>
      <c r="I20" s="249">
        <v>450</v>
      </c>
      <c r="J20" s="241">
        <v>676</v>
      </c>
      <c r="K20" s="248"/>
      <c r="L20" s="250">
        <v>750</v>
      </c>
      <c r="M20" s="243">
        <v>665</v>
      </c>
      <c r="N20" s="243">
        <v>700</v>
      </c>
      <c r="O20" s="243">
        <v>1034</v>
      </c>
      <c r="P20" s="234"/>
      <c r="Q20" s="39">
        <v>730</v>
      </c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</row>
    <row r="21" spans="1:89" s="251" customFormat="1" ht="12" customHeight="1">
      <c r="A21" s="252" t="s">
        <v>120</v>
      </c>
      <c r="B21" s="253"/>
      <c r="C21" s="236">
        <v>312</v>
      </c>
      <c r="D21" s="246"/>
      <c r="E21" s="247">
        <v>412</v>
      </c>
      <c r="F21" s="248"/>
      <c r="G21" s="247">
        <v>264</v>
      </c>
      <c r="H21" s="249">
        <v>256</v>
      </c>
      <c r="I21" s="249">
        <v>204</v>
      </c>
      <c r="J21" s="241">
        <v>188</v>
      </c>
      <c r="K21" s="248"/>
      <c r="L21" s="250">
        <v>148</v>
      </c>
      <c r="M21" s="243">
        <v>166</v>
      </c>
      <c r="N21" s="243">
        <v>162</v>
      </c>
      <c r="O21" s="243">
        <v>214</v>
      </c>
      <c r="P21" s="234"/>
      <c r="Q21" s="516">
        <v>160</v>
      </c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</row>
    <row r="22" spans="1:89" s="251" customFormat="1" ht="12" customHeight="1">
      <c r="A22" s="252" t="s">
        <v>112</v>
      </c>
      <c r="B22" s="253"/>
      <c r="C22" s="236">
        <v>267</v>
      </c>
      <c r="D22" s="246"/>
      <c r="E22" s="247">
        <v>6</v>
      </c>
      <c r="F22" s="248"/>
      <c r="G22" s="247">
        <v>80</v>
      </c>
      <c r="H22" s="249">
        <v>33</v>
      </c>
      <c r="I22" s="249">
        <v>56</v>
      </c>
      <c r="J22" s="241">
        <v>72</v>
      </c>
      <c r="K22" s="248"/>
      <c r="L22" s="250">
        <v>76</v>
      </c>
      <c r="M22" s="243">
        <v>99</v>
      </c>
      <c r="N22" s="243">
        <v>109</v>
      </c>
      <c r="O22" s="243">
        <v>195</v>
      </c>
      <c r="P22" s="234"/>
      <c r="Q22" s="516">
        <v>263</v>
      </c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34"/>
      <c r="CC22" s="234"/>
      <c r="CD22" s="234"/>
      <c r="CE22" s="234"/>
      <c r="CF22" s="234"/>
      <c r="CG22" s="234"/>
      <c r="CH22" s="234"/>
      <c r="CI22" s="234"/>
      <c r="CJ22" s="234"/>
      <c r="CK22" s="234"/>
    </row>
    <row r="23" spans="1:89" s="251" customFormat="1" ht="12" customHeight="1">
      <c r="A23" s="252" t="s">
        <v>121</v>
      </c>
      <c r="B23" s="253"/>
      <c r="C23" s="236">
        <v>425</v>
      </c>
      <c r="D23" s="246"/>
      <c r="E23" s="247">
        <v>537</v>
      </c>
      <c r="F23" s="248"/>
      <c r="G23" s="247">
        <v>680</v>
      </c>
      <c r="H23" s="249">
        <v>618</v>
      </c>
      <c r="I23" s="249">
        <v>595</v>
      </c>
      <c r="J23" s="241">
        <v>362</v>
      </c>
      <c r="K23" s="248"/>
      <c r="L23" s="250">
        <v>258</v>
      </c>
      <c r="M23" s="243">
        <v>439</v>
      </c>
      <c r="N23" s="243">
        <v>399</v>
      </c>
      <c r="O23" s="243">
        <v>342</v>
      </c>
      <c r="P23" s="234"/>
      <c r="Q23" s="516">
        <v>405</v>
      </c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  <c r="CE23" s="234"/>
      <c r="CF23" s="234"/>
      <c r="CG23" s="234"/>
      <c r="CH23" s="234"/>
      <c r="CI23" s="234"/>
      <c r="CJ23" s="234"/>
      <c r="CK23" s="234"/>
    </row>
    <row r="24" spans="1:89" s="251" customFormat="1" ht="12" customHeight="1">
      <c r="A24" s="252" t="s">
        <v>122</v>
      </c>
      <c r="B24" s="253"/>
      <c r="C24" s="236">
        <v>85</v>
      </c>
      <c r="D24" s="246"/>
      <c r="E24" s="247">
        <v>158</v>
      </c>
      <c r="F24" s="248"/>
      <c r="G24" s="247">
        <v>261</v>
      </c>
      <c r="H24" s="249">
        <v>392</v>
      </c>
      <c r="I24" s="249">
        <v>359</v>
      </c>
      <c r="J24" s="241">
        <v>482</v>
      </c>
      <c r="K24" s="248"/>
      <c r="L24" s="250">
        <v>345</v>
      </c>
      <c r="M24" s="243">
        <v>118</v>
      </c>
      <c r="N24" s="243">
        <v>124</v>
      </c>
      <c r="O24" s="243">
        <v>234</v>
      </c>
      <c r="P24" s="234"/>
      <c r="Q24" s="516">
        <v>215</v>
      </c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  <c r="BX24" s="234"/>
      <c r="BY24" s="234"/>
      <c r="BZ24" s="234"/>
      <c r="CA24" s="234"/>
      <c r="CB24" s="234"/>
      <c r="CC24" s="234"/>
      <c r="CD24" s="234"/>
      <c r="CE24" s="234"/>
      <c r="CF24" s="234"/>
      <c r="CG24" s="234"/>
      <c r="CH24" s="234"/>
      <c r="CI24" s="234"/>
      <c r="CJ24" s="234"/>
      <c r="CK24" s="234"/>
    </row>
    <row r="25" spans="1:89" s="251" customFormat="1" ht="12" customHeight="1" thickBot="1">
      <c r="A25" s="200" t="s">
        <v>123</v>
      </c>
      <c r="B25" s="199"/>
      <c r="C25" s="254">
        <f>+C19+C20+C21+C22+C23+C24</f>
        <v>4873</v>
      </c>
      <c r="D25" s="255"/>
      <c r="E25" s="254">
        <f>+E19+E20+E21+E22+E23+E24</f>
        <v>4714</v>
      </c>
      <c r="F25" s="256"/>
      <c r="G25" s="254">
        <f>+G19+G20+G21+G22+G23+G24</f>
        <v>4952</v>
      </c>
      <c r="H25" s="257">
        <f>+H19+H20+H21+H22+H23+H24</f>
        <v>5189</v>
      </c>
      <c r="I25" s="257">
        <f>+I19+I20+I21+I22+I23+I24</f>
        <v>5072</v>
      </c>
      <c r="J25" s="258">
        <f>+J19+J20+J21+J22+J23+J24</f>
        <v>4506</v>
      </c>
      <c r="K25" s="256"/>
      <c r="L25" s="259">
        <f>+L19+L20+L21+L22+L23+L24</f>
        <v>5049</v>
      </c>
      <c r="M25" s="260">
        <f>+M19+M20+M21+M22+M23+M24</f>
        <v>5270</v>
      </c>
      <c r="N25" s="260">
        <f>+N19+N20+N21+N22+N23+N24</f>
        <v>5648</v>
      </c>
      <c r="O25" s="260">
        <f>+O19+O20+O21+O22+O23+O24</f>
        <v>5876</v>
      </c>
      <c r="P25" s="234"/>
      <c r="Q25" s="3">
        <f>+Q19+Q20+Q21+Q22+Q23+Q24</f>
        <v>6424</v>
      </c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34"/>
      <c r="CH25" s="234"/>
      <c r="CI25" s="234"/>
      <c r="CJ25" s="234"/>
      <c r="CK25" s="234"/>
    </row>
    <row r="26" spans="1:89" s="262" customFormat="1" ht="12" customHeight="1" thickBot="1">
      <c r="A26" s="200" t="s">
        <v>124</v>
      </c>
      <c r="B26" s="199"/>
      <c r="C26" s="254">
        <f>C18+C25</f>
        <v>32312</v>
      </c>
      <c r="D26" s="255"/>
      <c r="E26" s="254">
        <f>E18+E25</f>
        <v>33120</v>
      </c>
      <c r="F26" s="256"/>
      <c r="G26" s="254">
        <f>G18+G25</f>
        <v>33824</v>
      </c>
      <c r="H26" s="257">
        <f>H18+H25</f>
        <v>35013</v>
      </c>
      <c r="I26" s="257">
        <f>I18+I25</f>
        <v>35066</v>
      </c>
      <c r="J26" s="258">
        <f>J18+J25</f>
        <v>30100</v>
      </c>
      <c r="K26" s="256"/>
      <c r="L26" s="259">
        <f>L18+L25</f>
        <v>30548</v>
      </c>
      <c r="M26" s="260">
        <f>M18+M25</f>
        <v>30728</v>
      </c>
      <c r="N26" s="260">
        <f>N18+N25</f>
        <v>31332</v>
      </c>
      <c r="O26" s="260">
        <f>O18+O25</f>
        <v>30947</v>
      </c>
      <c r="P26" s="261"/>
      <c r="Q26" s="3">
        <f>Q18+Q25</f>
        <v>31480</v>
      </c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1"/>
      <c r="AW26" s="261"/>
      <c r="AX26" s="261"/>
      <c r="AY26" s="261"/>
      <c r="AZ26" s="261"/>
      <c r="BA26" s="261"/>
      <c r="BB26" s="261"/>
      <c r="BC26" s="261"/>
      <c r="BD26" s="261"/>
      <c r="BE26" s="261"/>
      <c r="BF26" s="261"/>
      <c r="BG26" s="261"/>
      <c r="BH26" s="261"/>
      <c r="BI26" s="261"/>
      <c r="BJ26" s="261"/>
      <c r="BK26" s="261"/>
      <c r="BL26" s="261"/>
      <c r="BM26" s="261"/>
      <c r="BN26" s="261"/>
      <c r="BO26" s="261"/>
      <c r="BP26" s="261"/>
      <c r="BQ26" s="261"/>
      <c r="BR26" s="261"/>
      <c r="BS26" s="261"/>
      <c r="BT26" s="261"/>
      <c r="BU26" s="261"/>
      <c r="BV26" s="261"/>
      <c r="BW26" s="261"/>
      <c r="BX26" s="261"/>
      <c r="BY26" s="261"/>
      <c r="BZ26" s="261"/>
      <c r="CA26" s="261"/>
      <c r="CB26" s="261"/>
      <c r="CC26" s="261"/>
      <c r="CD26" s="261"/>
      <c r="CE26" s="261"/>
      <c r="CF26" s="261"/>
      <c r="CG26" s="261"/>
      <c r="CH26" s="261"/>
      <c r="CI26" s="261"/>
      <c r="CJ26" s="261"/>
      <c r="CK26" s="261"/>
    </row>
    <row r="27" spans="1:17" s="265" customFormat="1" ht="6" customHeight="1">
      <c r="A27" s="232"/>
      <c r="B27" s="232"/>
      <c r="C27" s="263"/>
      <c r="D27" s="255"/>
      <c r="E27" s="264"/>
      <c r="F27" s="256"/>
      <c r="G27" s="264"/>
      <c r="H27" s="256"/>
      <c r="I27" s="256"/>
      <c r="J27" s="258"/>
      <c r="K27" s="256"/>
      <c r="L27" s="259"/>
      <c r="M27" s="260"/>
      <c r="N27" s="260"/>
      <c r="O27" s="260"/>
      <c r="Q27" s="3"/>
    </row>
    <row r="28" spans="1:89" s="251" customFormat="1" ht="12" customHeight="1">
      <c r="A28" s="200" t="s">
        <v>125</v>
      </c>
      <c r="B28" s="199"/>
      <c r="C28" s="266"/>
      <c r="D28" s="267"/>
      <c r="E28" s="254"/>
      <c r="F28" s="256"/>
      <c r="G28" s="254"/>
      <c r="H28" s="257"/>
      <c r="I28" s="257"/>
      <c r="J28" s="258"/>
      <c r="K28" s="256"/>
      <c r="L28" s="259"/>
      <c r="M28" s="243"/>
      <c r="N28" s="243"/>
      <c r="O28" s="243"/>
      <c r="P28" s="234"/>
      <c r="Q28" s="7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  <c r="BT28" s="234"/>
      <c r="BU28" s="234"/>
      <c r="BV28" s="234"/>
      <c r="BW28" s="234"/>
      <c r="BX28" s="234"/>
      <c r="BY28" s="234"/>
      <c r="BZ28" s="234"/>
      <c r="CA28" s="234"/>
      <c r="CB28" s="234"/>
      <c r="CC28" s="234"/>
      <c r="CD28" s="234"/>
      <c r="CE28" s="234"/>
      <c r="CF28" s="234"/>
      <c r="CG28" s="234"/>
      <c r="CH28" s="234"/>
      <c r="CI28" s="234"/>
      <c r="CJ28" s="234"/>
      <c r="CK28" s="234"/>
    </row>
    <row r="29" spans="1:89" s="251" customFormat="1" ht="12" customHeight="1">
      <c r="A29" s="252" t="s">
        <v>126</v>
      </c>
      <c r="B29" s="253"/>
      <c r="C29" s="236">
        <v>2000</v>
      </c>
      <c r="D29" s="246"/>
      <c r="E29" s="247">
        <v>2000</v>
      </c>
      <c r="F29" s="248"/>
      <c r="G29" s="247">
        <v>2000</v>
      </c>
      <c r="H29" s="249">
        <v>2000</v>
      </c>
      <c r="I29" s="249">
        <v>2000</v>
      </c>
      <c r="J29" s="241">
        <v>2000</v>
      </c>
      <c r="K29" s="248"/>
      <c r="L29" s="250">
        <v>2000</v>
      </c>
      <c r="M29" s="243">
        <v>2000</v>
      </c>
      <c r="N29" s="243">
        <v>2000</v>
      </c>
      <c r="O29" s="243">
        <v>2000</v>
      </c>
      <c r="P29" s="234"/>
      <c r="Q29" s="39">
        <v>2000</v>
      </c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4"/>
      <c r="BW29" s="234"/>
      <c r="BX29" s="234"/>
      <c r="BY29" s="234"/>
      <c r="BZ29" s="234"/>
      <c r="CA29" s="234"/>
      <c r="CB29" s="234"/>
      <c r="CC29" s="234"/>
      <c r="CD29" s="234"/>
      <c r="CE29" s="234"/>
      <c r="CF29" s="234"/>
      <c r="CG29" s="234"/>
      <c r="CH29" s="234"/>
      <c r="CI29" s="234"/>
      <c r="CJ29" s="234"/>
      <c r="CK29" s="234"/>
    </row>
    <row r="30" spans="1:89" s="251" customFormat="1" ht="12" customHeight="1">
      <c r="A30" s="252" t="s">
        <v>127</v>
      </c>
      <c r="B30" s="253"/>
      <c r="C30" s="236">
        <v>366</v>
      </c>
      <c r="D30" s="246"/>
      <c r="E30" s="247">
        <v>-103</v>
      </c>
      <c r="F30" s="248"/>
      <c r="G30" s="247">
        <v>9</v>
      </c>
      <c r="H30" s="249">
        <v>-83</v>
      </c>
      <c r="I30" s="249">
        <v>-88</v>
      </c>
      <c r="J30" s="241">
        <v>-196</v>
      </c>
      <c r="K30" s="248"/>
      <c r="L30" s="250">
        <v>8</v>
      </c>
      <c r="M30" s="243">
        <v>87</v>
      </c>
      <c r="N30" s="243">
        <v>144</v>
      </c>
      <c r="O30" s="243">
        <v>142</v>
      </c>
      <c r="P30" s="234"/>
      <c r="Q30" s="516">
        <v>-439</v>
      </c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  <c r="BR30" s="234"/>
      <c r="BS30" s="234"/>
      <c r="BT30" s="234"/>
      <c r="BU30" s="234"/>
      <c r="BV30" s="234"/>
      <c r="BW30" s="234"/>
      <c r="BX30" s="234"/>
      <c r="BY30" s="234"/>
      <c r="BZ30" s="234"/>
      <c r="CA30" s="234"/>
      <c r="CB30" s="234"/>
      <c r="CC30" s="234"/>
      <c r="CD30" s="234"/>
      <c r="CE30" s="234"/>
      <c r="CF30" s="234"/>
      <c r="CG30" s="234"/>
      <c r="CH30" s="234"/>
      <c r="CI30" s="234"/>
      <c r="CJ30" s="234"/>
      <c r="CK30" s="234"/>
    </row>
    <row r="31" spans="1:89" s="251" customFormat="1" ht="12" customHeight="1">
      <c r="A31" s="252" t="s">
        <v>128</v>
      </c>
      <c r="B31" s="253"/>
      <c r="C31" s="236">
        <v>-401</v>
      </c>
      <c r="D31" s="246"/>
      <c r="E31" s="247">
        <v>-342</v>
      </c>
      <c r="F31" s="248"/>
      <c r="G31" s="247">
        <v>-382</v>
      </c>
      <c r="H31" s="249">
        <v>-409</v>
      </c>
      <c r="I31" s="249">
        <v>-323</v>
      </c>
      <c r="J31" s="241">
        <v>-243</v>
      </c>
      <c r="K31" s="248"/>
      <c r="L31" s="250">
        <v>-407</v>
      </c>
      <c r="M31" s="243">
        <v>-386</v>
      </c>
      <c r="N31" s="243">
        <v>-364</v>
      </c>
      <c r="O31" s="243">
        <v>-348</v>
      </c>
      <c r="P31" s="234"/>
      <c r="Q31" s="516">
        <v>-495</v>
      </c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  <c r="BR31" s="234"/>
      <c r="BS31" s="234"/>
      <c r="BT31" s="234"/>
      <c r="BU31" s="234"/>
      <c r="BV31" s="234"/>
      <c r="BW31" s="234"/>
      <c r="BX31" s="234"/>
      <c r="BY31" s="234"/>
      <c r="BZ31" s="234"/>
      <c r="CA31" s="234"/>
      <c r="CB31" s="234"/>
      <c r="CC31" s="234"/>
      <c r="CD31" s="234"/>
      <c r="CE31" s="234"/>
      <c r="CF31" s="234"/>
      <c r="CG31" s="234"/>
      <c r="CH31" s="234"/>
      <c r="CI31" s="234"/>
      <c r="CJ31" s="234"/>
      <c r="CK31" s="234"/>
    </row>
    <row r="32" spans="1:89" s="251" customFormat="1" ht="12" customHeight="1">
      <c r="A32" s="252" t="s">
        <v>129</v>
      </c>
      <c r="B32" s="253"/>
      <c r="C32" s="236">
        <v>22312</v>
      </c>
      <c r="D32" s="246"/>
      <c r="E32" s="247">
        <v>18724</v>
      </c>
      <c r="F32" s="248"/>
      <c r="G32" s="247">
        <v>19094</v>
      </c>
      <c r="H32" s="249">
        <v>19092</v>
      </c>
      <c r="I32" s="249">
        <v>19706</v>
      </c>
      <c r="J32" s="241">
        <v>14339</v>
      </c>
      <c r="K32" s="248"/>
      <c r="L32" s="250">
        <v>15144</v>
      </c>
      <c r="M32" s="243">
        <v>15449</v>
      </c>
      <c r="N32" s="243">
        <v>15989</v>
      </c>
      <c r="O32" s="243">
        <v>15462</v>
      </c>
      <c r="P32" s="234"/>
      <c r="Q32" s="516">
        <v>16363</v>
      </c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234"/>
      <c r="BD32" s="234"/>
      <c r="BE32" s="234"/>
      <c r="BF32" s="234"/>
      <c r="BG32" s="234"/>
      <c r="BH32" s="234"/>
      <c r="BI32" s="234"/>
      <c r="BJ32" s="234"/>
      <c r="BK32" s="234"/>
      <c r="BL32" s="234"/>
      <c r="BM32" s="234"/>
      <c r="BN32" s="234"/>
      <c r="BO32" s="234"/>
      <c r="BP32" s="234"/>
      <c r="BQ32" s="234"/>
      <c r="BR32" s="234"/>
      <c r="BS32" s="234"/>
      <c r="BT32" s="234"/>
      <c r="BU32" s="234"/>
      <c r="BV32" s="234"/>
      <c r="BW32" s="234"/>
      <c r="BX32" s="234"/>
      <c r="BY32" s="234"/>
      <c r="BZ32" s="234"/>
      <c r="CA32" s="234"/>
      <c r="CB32" s="234"/>
      <c r="CC32" s="234"/>
      <c r="CD32" s="234"/>
      <c r="CE32" s="234"/>
      <c r="CF32" s="234"/>
      <c r="CG32" s="234"/>
      <c r="CH32" s="234"/>
      <c r="CI32" s="234"/>
      <c r="CJ32" s="234"/>
      <c r="CK32" s="234"/>
    </row>
    <row r="33" spans="1:89" s="251" customFormat="1" ht="12" customHeight="1">
      <c r="A33" s="200" t="s">
        <v>153</v>
      </c>
      <c r="B33" s="199"/>
      <c r="C33" s="254">
        <f>+C29+C30+C31+C32</f>
        <v>24277</v>
      </c>
      <c r="D33" s="255"/>
      <c r="E33" s="254">
        <f>+E29+E30+E31+E32</f>
        <v>20279</v>
      </c>
      <c r="F33" s="256"/>
      <c r="G33" s="254">
        <f>+G29+G30+G31+G32</f>
        <v>20721</v>
      </c>
      <c r="H33" s="257">
        <f>+H29+H30+H31+H32</f>
        <v>20600</v>
      </c>
      <c r="I33" s="257">
        <f>+I29+I30+I31+I32</f>
        <v>21295</v>
      </c>
      <c r="J33" s="258">
        <f>+J29+J30+J31+J32</f>
        <v>15900</v>
      </c>
      <c r="K33" s="256"/>
      <c r="L33" s="259">
        <f>+L29+L30+L31+L32</f>
        <v>16745</v>
      </c>
      <c r="M33" s="260">
        <f>+M29+M30+M31+M32</f>
        <v>17150</v>
      </c>
      <c r="N33" s="260">
        <f>+N29+N30+N31+N32</f>
        <v>17769</v>
      </c>
      <c r="O33" s="260">
        <f>+O29+O30+O31+O32</f>
        <v>17256</v>
      </c>
      <c r="P33" s="234"/>
      <c r="Q33" s="3">
        <f>+Q29+Q30+Q31+Q32</f>
        <v>17429</v>
      </c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4"/>
      <c r="BJ33" s="234"/>
      <c r="BK33" s="234"/>
      <c r="BL33" s="234"/>
      <c r="BM33" s="234"/>
      <c r="BN33" s="234"/>
      <c r="BO33" s="234"/>
      <c r="BP33" s="234"/>
      <c r="BQ33" s="234"/>
      <c r="BR33" s="234"/>
      <c r="BS33" s="234"/>
      <c r="BT33" s="234"/>
      <c r="BU33" s="234"/>
      <c r="BV33" s="234"/>
      <c r="BW33" s="234"/>
      <c r="BX33" s="234"/>
      <c r="BY33" s="234"/>
      <c r="BZ33" s="234"/>
      <c r="CA33" s="234"/>
      <c r="CB33" s="234"/>
      <c r="CC33" s="234"/>
      <c r="CD33" s="234"/>
      <c r="CE33" s="234"/>
      <c r="CF33" s="234"/>
      <c r="CG33" s="234"/>
      <c r="CH33" s="234"/>
      <c r="CI33" s="234"/>
      <c r="CJ33" s="234"/>
      <c r="CK33" s="234"/>
    </row>
    <row r="34" spans="1:89" s="251" customFormat="1" ht="12" customHeight="1">
      <c r="A34" s="244" t="s">
        <v>154</v>
      </c>
      <c r="B34" s="245"/>
      <c r="C34" s="236">
        <v>1052</v>
      </c>
      <c r="D34" s="246"/>
      <c r="E34" s="247">
        <v>4724</v>
      </c>
      <c r="F34" s="248"/>
      <c r="G34" s="247">
        <v>4268</v>
      </c>
      <c r="H34" s="249">
        <v>5678</v>
      </c>
      <c r="I34" s="249">
        <v>6339</v>
      </c>
      <c r="J34" s="241">
        <v>6423</v>
      </c>
      <c r="K34" s="248"/>
      <c r="L34" s="250">
        <v>5480</v>
      </c>
      <c r="M34" s="243">
        <v>5382</v>
      </c>
      <c r="N34" s="243">
        <v>5684</v>
      </c>
      <c r="O34" s="243">
        <v>6085</v>
      </c>
      <c r="P34" s="234"/>
      <c r="Q34" s="39">
        <v>5863</v>
      </c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4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  <c r="BP34" s="234"/>
      <c r="BQ34" s="234"/>
      <c r="BR34" s="234"/>
      <c r="BS34" s="234"/>
      <c r="BT34" s="234"/>
      <c r="BU34" s="234"/>
      <c r="BV34" s="234"/>
      <c r="BW34" s="234"/>
      <c r="BX34" s="234"/>
      <c r="BY34" s="234"/>
      <c r="BZ34" s="234"/>
      <c r="CA34" s="234"/>
      <c r="CB34" s="234"/>
      <c r="CC34" s="234"/>
      <c r="CD34" s="234"/>
      <c r="CE34" s="234"/>
      <c r="CF34" s="234"/>
      <c r="CG34" s="234"/>
      <c r="CH34" s="234"/>
      <c r="CI34" s="234"/>
      <c r="CJ34" s="234"/>
      <c r="CK34" s="234"/>
    </row>
    <row r="35" spans="1:89" s="251" customFormat="1" ht="12" customHeight="1">
      <c r="A35" s="244" t="s">
        <v>134</v>
      </c>
      <c r="B35" s="245"/>
      <c r="C35" s="236">
        <v>122</v>
      </c>
      <c r="D35" s="268"/>
      <c r="E35" s="247">
        <v>158</v>
      </c>
      <c r="F35" s="248"/>
      <c r="G35" s="247">
        <v>88</v>
      </c>
      <c r="H35" s="249">
        <v>108</v>
      </c>
      <c r="I35" s="249">
        <v>37</v>
      </c>
      <c r="J35" s="241">
        <v>149</v>
      </c>
      <c r="K35" s="248"/>
      <c r="L35" s="250">
        <v>51</v>
      </c>
      <c r="M35" s="243">
        <v>28</v>
      </c>
      <c r="N35" s="243">
        <v>76</v>
      </c>
      <c r="O35" s="243">
        <v>84</v>
      </c>
      <c r="P35" s="234"/>
      <c r="Q35" s="7">
        <v>80</v>
      </c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4"/>
      <c r="BQ35" s="234"/>
      <c r="BR35" s="234"/>
      <c r="BS35" s="234"/>
      <c r="BT35" s="234"/>
      <c r="BU35" s="234"/>
      <c r="BV35" s="234"/>
      <c r="BW35" s="234"/>
      <c r="BX35" s="234"/>
      <c r="BY35" s="234"/>
      <c r="BZ35" s="234"/>
      <c r="CA35" s="234"/>
      <c r="CB35" s="234"/>
      <c r="CC35" s="234"/>
      <c r="CD35" s="234"/>
      <c r="CE35" s="234"/>
      <c r="CF35" s="234"/>
      <c r="CG35" s="234"/>
      <c r="CH35" s="234"/>
      <c r="CI35" s="234"/>
      <c r="CJ35" s="234"/>
      <c r="CK35" s="234"/>
    </row>
    <row r="36" spans="1:89" s="251" customFormat="1" ht="12" customHeight="1">
      <c r="A36" s="244" t="s">
        <v>135</v>
      </c>
      <c r="B36" s="245"/>
      <c r="C36" s="236">
        <v>1842</v>
      </c>
      <c r="D36" s="246"/>
      <c r="E36" s="247">
        <v>1803</v>
      </c>
      <c r="F36" s="248"/>
      <c r="G36" s="247">
        <v>1840</v>
      </c>
      <c r="H36" s="249">
        <v>1879</v>
      </c>
      <c r="I36" s="249">
        <v>1818</v>
      </c>
      <c r="J36" s="241">
        <v>1683</v>
      </c>
      <c r="K36" s="248"/>
      <c r="L36" s="250">
        <v>1877</v>
      </c>
      <c r="M36" s="243">
        <v>1884</v>
      </c>
      <c r="N36" s="243">
        <v>1877</v>
      </c>
      <c r="O36" s="243">
        <v>1879</v>
      </c>
      <c r="P36" s="234"/>
      <c r="Q36" s="7">
        <v>2049</v>
      </c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34"/>
      <c r="BE36" s="234"/>
      <c r="BF36" s="234"/>
      <c r="BG36" s="234"/>
      <c r="BH36" s="234"/>
      <c r="BI36" s="234"/>
      <c r="BJ36" s="234"/>
      <c r="BK36" s="234"/>
      <c r="BL36" s="234"/>
      <c r="BM36" s="234"/>
      <c r="BN36" s="234"/>
      <c r="BO36" s="234"/>
      <c r="BP36" s="234"/>
      <c r="BQ36" s="234"/>
      <c r="BR36" s="234"/>
      <c r="BS36" s="234"/>
      <c r="BT36" s="234"/>
      <c r="BU36" s="234"/>
      <c r="BV36" s="234"/>
      <c r="BW36" s="234"/>
      <c r="BX36" s="234"/>
      <c r="BY36" s="234"/>
      <c r="BZ36" s="234"/>
      <c r="CA36" s="234"/>
      <c r="CB36" s="234"/>
      <c r="CC36" s="234"/>
      <c r="CD36" s="234"/>
      <c r="CE36" s="234"/>
      <c r="CF36" s="234"/>
      <c r="CG36" s="234"/>
      <c r="CH36" s="234"/>
      <c r="CI36" s="234"/>
      <c r="CJ36" s="234"/>
      <c r="CK36" s="234"/>
    </row>
    <row r="37" spans="1:89" s="251" customFormat="1" ht="24" customHeight="1">
      <c r="A37" s="244" t="s">
        <v>155</v>
      </c>
      <c r="B37" s="245"/>
      <c r="C37" s="236">
        <v>992</v>
      </c>
      <c r="D37" s="246"/>
      <c r="E37" s="247">
        <v>873</v>
      </c>
      <c r="F37" s="248"/>
      <c r="G37" s="247">
        <v>951</v>
      </c>
      <c r="H37" s="249">
        <v>917</v>
      </c>
      <c r="I37" s="249">
        <v>889</v>
      </c>
      <c r="J37" s="241">
        <v>761</v>
      </c>
      <c r="K37" s="248"/>
      <c r="L37" s="250">
        <v>845</v>
      </c>
      <c r="M37" s="243">
        <v>855</v>
      </c>
      <c r="N37" s="243">
        <v>792</v>
      </c>
      <c r="O37" s="243">
        <v>797</v>
      </c>
      <c r="P37" s="234"/>
      <c r="Q37" s="39">
        <v>794</v>
      </c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4"/>
      <c r="BO37" s="234"/>
      <c r="BP37" s="234"/>
      <c r="BQ37" s="234"/>
      <c r="BR37" s="234"/>
      <c r="BS37" s="234"/>
      <c r="BT37" s="234"/>
      <c r="BU37" s="234"/>
      <c r="BV37" s="234"/>
      <c r="BW37" s="234"/>
      <c r="BX37" s="234"/>
      <c r="BY37" s="234"/>
      <c r="BZ37" s="234"/>
      <c r="CA37" s="234"/>
      <c r="CB37" s="234"/>
      <c r="CC37" s="234"/>
      <c r="CD37" s="234"/>
      <c r="CE37" s="234"/>
      <c r="CF37" s="234"/>
      <c r="CG37" s="234"/>
      <c r="CH37" s="234"/>
      <c r="CI37" s="234"/>
      <c r="CJ37" s="234"/>
      <c r="CK37" s="234"/>
    </row>
    <row r="38" spans="1:89" s="251" customFormat="1" ht="12" customHeight="1">
      <c r="A38" s="244" t="s">
        <v>138</v>
      </c>
      <c r="B38" s="245"/>
      <c r="C38" s="236">
        <v>187</v>
      </c>
      <c r="D38" s="246"/>
      <c r="E38" s="247">
        <v>198</v>
      </c>
      <c r="F38" s="248"/>
      <c r="G38" s="247">
        <v>192</v>
      </c>
      <c r="H38" s="249">
        <v>191</v>
      </c>
      <c r="I38" s="249">
        <v>208</v>
      </c>
      <c r="J38" s="241">
        <v>229</v>
      </c>
      <c r="K38" s="248"/>
      <c r="L38" s="250">
        <v>219</v>
      </c>
      <c r="M38" s="243">
        <v>209</v>
      </c>
      <c r="N38" s="243">
        <v>209</v>
      </c>
      <c r="O38" s="243">
        <v>207</v>
      </c>
      <c r="P38" s="234"/>
      <c r="Q38" s="516">
        <v>211</v>
      </c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4"/>
      <c r="BC38" s="234"/>
      <c r="BD38" s="234"/>
      <c r="BE38" s="234"/>
      <c r="BF38" s="234"/>
      <c r="BG38" s="234"/>
      <c r="BH38" s="234"/>
      <c r="BI38" s="234"/>
      <c r="BJ38" s="234"/>
      <c r="BK38" s="234"/>
      <c r="BL38" s="234"/>
      <c r="BM38" s="234"/>
      <c r="BN38" s="234"/>
      <c r="BO38" s="234"/>
      <c r="BP38" s="234"/>
      <c r="BQ38" s="234"/>
      <c r="BR38" s="234"/>
      <c r="BS38" s="234"/>
      <c r="BT38" s="234"/>
      <c r="BU38" s="234"/>
      <c r="BV38" s="234"/>
      <c r="BW38" s="234"/>
      <c r="BX38" s="234"/>
      <c r="BY38" s="234"/>
      <c r="BZ38" s="234"/>
      <c r="CA38" s="234"/>
      <c r="CB38" s="234"/>
      <c r="CC38" s="234"/>
      <c r="CD38" s="234"/>
      <c r="CE38" s="234"/>
      <c r="CF38" s="234"/>
      <c r="CG38" s="234"/>
      <c r="CH38" s="234"/>
      <c r="CI38" s="234"/>
      <c r="CJ38" s="234"/>
      <c r="CK38" s="234"/>
    </row>
    <row r="39" spans="1:89" s="251" customFormat="1" ht="12" customHeight="1">
      <c r="A39" s="252" t="s">
        <v>139</v>
      </c>
      <c r="B39" s="253"/>
      <c r="C39" s="247">
        <f>+C34+C35+C36+C37+C38</f>
        <v>4195</v>
      </c>
      <c r="D39" s="246"/>
      <c r="E39" s="247">
        <f>+E34+E35+E36+E37+E38</f>
        <v>7756</v>
      </c>
      <c r="F39" s="248"/>
      <c r="G39" s="247">
        <f>+G34+G35+G36+G37+G38</f>
        <v>7339</v>
      </c>
      <c r="H39" s="249">
        <f>+H34+H35+H36+H37+H38</f>
        <v>8773</v>
      </c>
      <c r="I39" s="249">
        <f>+I34+I35+I36+I37+I38</f>
        <v>9291</v>
      </c>
      <c r="J39" s="241">
        <f>+J34+J35+J36+J37+J38</f>
        <v>9245</v>
      </c>
      <c r="K39" s="248"/>
      <c r="L39" s="250">
        <f>+L34+L35+L36+L37+L38</f>
        <v>8472</v>
      </c>
      <c r="M39" s="243">
        <f>+M34+M35+M36+M37+M38</f>
        <v>8358</v>
      </c>
      <c r="N39" s="243">
        <v>8638</v>
      </c>
      <c r="O39" s="243">
        <f>SUM(O34:O38)</f>
        <v>9052</v>
      </c>
      <c r="P39" s="234"/>
      <c r="Q39" s="516">
        <f>+Q34+Q35+Q36+Q37+Q38</f>
        <v>8997</v>
      </c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4"/>
      <c r="AY39" s="234"/>
      <c r="AZ39" s="234"/>
      <c r="BA39" s="234"/>
      <c r="BB39" s="234"/>
      <c r="BC39" s="234"/>
      <c r="BD39" s="234"/>
      <c r="BE39" s="234"/>
      <c r="BF39" s="234"/>
      <c r="BG39" s="234"/>
      <c r="BH39" s="234"/>
      <c r="BI39" s="234"/>
      <c r="BJ39" s="234"/>
      <c r="BK39" s="234"/>
      <c r="BL39" s="234"/>
      <c r="BM39" s="234"/>
      <c r="BN39" s="234"/>
      <c r="BO39" s="234"/>
      <c r="BP39" s="234"/>
      <c r="BQ39" s="234"/>
      <c r="BR39" s="234"/>
      <c r="BS39" s="234"/>
      <c r="BT39" s="234"/>
      <c r="BU39" s="234"/>
      <c r="BV39" s="234"/>
      <c r="BW39" s="234"/>
      <c r="BX39" s="234"/>
      <c r="BY39" s="234"/>
      <c r="BZ39" s="234"/>
      <c r="CA39" s="234"/>
      <c r="CB39" s="234"/>
      <c r="CC39" s="234"/>
      <c r="CD39" s="234"/>
      <c r="CE39" s="234"/>
      <c r="CF39" s="234"/>
      <c r="CG39" s="234"/>
      <c r="CH39" s="234"/>
      <c r="CI39" s="234"/>
      <c r="CJ39" s="234"/>
      <c r="CK39" s="234"/>
    </row>
    <row r="40" spans="1:89" s="251" customFormat="1" ht="12" customHeight="1">
      <c r="A40" s="244" t="s">
        <v>154</v>
      </c>
      <c r="B40" s="245"/>
      <c r="C40" s="236">
        <v>1056</v>
      </c>
      <c r="D40" s="246"/>
      <c r="E40" s="247">
        <v>2098</v>
      </c>
      <c r="F40" s="248"/>
      <c r="G40" s="247">
        <v>2962</v>
      </c>
      <c r="H40" s="249">
        <v>2250</v>
      </c>
      <c r="I40" s="249">
        <v>1419</v>
      </c>
      <c r="J40" s="241">
        <v>1509</v>
      </c>
      <c r="K40" s="248"/>
      <c r="L40" s="250">
        <v>2041</v>
      </c>
      <c r="M40" s="243">
        <v>1601</v>
      </c>
      <c r="N40" s="243">
        <v>1398</v>
      </c>
      <c r="O40" s="243">
        <v>923</v>
      </c>
      <c r="P40" s="234"/>
      <c r="Q40" s="516">
        <v>1627</v>
      </c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34"/>
      <c r="BC40" s="234"/>
      <c r="BD40" s="234"/>
      <c r="BE40" s="234"/>
      <c r="BF40" s="234"/>
      <c r="BG40" s="234"/>
      <c r="BH40" s="234"/>
      <c r="BI40" s="234"/>
      <c r="BJ40" s="234"/>
      <c r="BK40" s="234"/>
      <c r="BL40" s="234"/>
      <c r="BM40" s="234"/>
      <c r="BN40" s="234"/>
      <c r="BO40" s="234"/>
      <c r="BP40" s="234"/>
      <c r="BQ40" s="234"/>
      <c r="BR40" s="234"/>
      <c r="BS40" s="234"/>
      <c r="BT40" s="234"/>
      <c r="BU40" s="234"/>
      <c r="BV40" s="234"/>
      <c r="BW40" s="234"/>
      <c r="BX40" s="234"/>
      <c r="BY40" s="234"/>
      <c r="BZ40" s="234"/>
      <c r="CA40" s="234"/>
      <c r="CB40" s="234"/>
      <c r="CC40" s="234"/>
      <c r="CD40" s="234"/>
      <c r="CE40" s="234"/>
      <c r="CF40" s="234"/>
      <c r="CG40" s="234"/>
      <c r="CH40" s="234"/>
      <c r="CI40" s="234"/>
      <c r="CJ40" s="234"/>
      <c r="CK40" s="234"/>
    </row>
    <row r="41" spans="1:89" s="251" customFormat="1" ht="12" customHeight="1">
      <c r="A41" s="244" t="s">
        <v>156</v>
      </c>
      <c r="B41" s="245"/>
      <c r="C41" s="236">
        <v>0</v>
      </c>
      <c r="D41" s="246"/>
      <c r="E41" s="247">
        <v>0</v>
      </c>
      <c r="F41" s="248"/>
      <c r="G41" s="247">
        <v>0</v>
      </c>
      <c r="H41" s="249">
        <v>0</v>
      </c>
      <c r="I41" s="249">
        <v>0</v>
      </c>
      <c r="J41" s="241">
        <v>0</v>
      </c>
      <c r="K41" s="248"/>
      <c r="L41" s="250">
        <v>0</v>
      </c>
      <c r="M41" s="243">
        <v>227</v>
      </c>
      <c r="N41" s="243">
        <v>160</v>
      </c>
      <c r="O41" s="243">
        <v>160</v>
      </c>
      <c r="P41" s="234"/>
      <c r="Q41" s="7">
        <v>220</v>
      </c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4"/>
      <c r="BQ41" s="234"/>
      <c r="BR41" s="234"/>
      <c r="BS41" s="234"/>
      <c r="BT41" s="234"/>
      <c r="BU41" s="234"/>
      <c r="BV41" s="234"/>
      <c r="BW41" s="234"/>
      <c r="BX41" s="234"/>
      <c r="BY41" s="234"/>
      <c r="BZ41" s="234"/>
      <c r="CA41" s="234"/>
      <c r="CB41" s="234"/>
      <c r="CC41" s="234"/>
      <c r="CD41" s="234"/>
      <c r="CE41" s="234"/>
      <c r="CF41" s="234"/>
      <c r="CG41" s="234"/>
      <c r="CH41" s="234"/>
      <c r="CI41" s="234"/>
      <c r="CJ41" s="234"/>
      <c r="CK41" s="234"/>
    </row>
    <row r="42" spans="1:89" s="251" customFormat="1" ht="12" customHeight="1">
      <c r="A42" s="244" t="s">
        <v>134</v>
      </c>
      <c r="B42" s="245"/>
      <c r="C42" s="236">
        <v>36</v>
      </c>
      <c r="D42" s="246"/>
      <c r="E42" s="247">
        <v>48</v>
      </c>
      <c r="F42" s="248"/>
      <c r="G42" s="247">
        <v>25</v>
      </c>
      <c r="H42" s="249">
        <v>75</v>
      </c>
      <c r="I42" s="249">
        <v>39</v>
      </c>
      <c r="J42" s="241">
        <v>189</v>
      </c>
      <c r="K42" s="248"/>
      <c r="L42" s="250">
        <v>46</v>
      </c>
      <c r="M42" s="243">
        <v>9</v>
      </c>
      <c r="N42" s="243">
        <v>20</v>
      </c>
      <c r="O42" s="243">
        <v>74</v>
      </c>
      <c r="P42" s="234"/>
      <c r="Q42" s="34">
        <v>36</v>
      </c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234"/>
      <c r="BM42" s="234"/>
      <c r="BN42" s="234"/>
      <c r="BO42" s="234"/>
      <c r="BP42" s="234"/>
      <c r="BQ42" s="234"/>
      <c r="BR42" s="234"/>
      <c r="BS42" s="234"/>
      <c r="BT42" s="234"/>
      <c r="BU42" s="234"/>
      <c r="BV42" s="234"/>
      <c r="BW42" s="234"/>
      <c r="BX42" s="234"/>
      <c r="BY42" s="234"/>
      <c r="BZ42" s="234"/>
      <c r="CA42" s="234"/>
      <c r="CB42" s="234"/>
      <c r="CC42" s="234"/>
      <c r="CD42" s="234"/>
      <c r="CE42" s="234"/>
      <c r="CF42" s="234"/>
      <c r="CG42" s="234"/>
      <c r="CH42" s="234"/>
      <c r="CI42" s="234"/>
      <c r="CJ42" s="234"/>
      <c r="CK42" s="234"/>
    </row>
    <row r="43" spans="1:89" s="251" customFormat="1" ht="12" customHeight="1">
      <c r="A43" s="244" t="s">
        <v>140</v>
      </c>
      <c r="B43" s="245"/>
      <c r="C43" s="236">
        <v>1109</v>
      </c>
      <c r="D43" s="246"/>
      <c r="E43" s="247">
        <v>1318</v>
      </c>
      <c r="F43" s="248"/>
      <c r="G43" s="247">
        <v>1192</v>
      </c>
      <c r="H43" s="249">
        <v>1151</v>
      </c>
      <c r="I43" s="249">
        <v>1271</v>
      </c>
      <c r="J43" s="241">
        <v>1372</v>
      </c>
      <c r="K43" s="248"/>
      <c r="L43" s="250">
        <v>1298</v>
      </c>
      <c r="M43" s="243">
        <v>1506</v>
      </c>
      <c r="N43" s="243">
        <v>1446</v>
      </c>
      <c r="O43" s="243">
        <v>1719</v>
      </c>
      <c r="P43" s="234"/>
      <c r="Q43" s="7">
        <v>1321</v>
      </c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234"/>
      <c r="AS43" s="234"/>
      <c r="AT43" s="234"/>
      <c r="AU43" s="234"/>
      <c r="AV43" s="234"/>
      <c r="AW43" s="234"/>
      <c r="AX43" s="234"/>
      <c r="AY43" s="234"/>
      <c r="AZ43" s="234"/>
      <c r="BA43" s="234"/>
      <c r="BB43" s="234"/>
      <c r="BC43" s="234"/>
      <c r="BD43" s="234"/>
      <c r="BE43" s="234"/>
      <c r="BF43" s="234"/>
      <c r="BG43" s="234"/>
      <c r="BH43" s="234"/>
      <c r="BI43" s="234"/>
      <c r="BJ43" s="234"/>
      <c r="BK43" s="234"/>
      <c r="BL43" s="234"/>
      <c r="BM43" s="234"/>
      <c r="BN43" s="234"/>
      <c r="BO43" s="234"/>
      <c r="BP43" s="234"/>
      <c r="BQ43" s="234"/>
      <c r="BR43" s="234"/>
      <c r="BS43" s="234"/>
      <c r="BT43" s="234"/>
      <c r="BU43" s="234"/>
      <c r="BV43" s="234"/>
      <c r="BW43" s="234"/>
      <c r="BX43" s="234"/>
      <c r="BY43" s="234"/>
      <c r="BZ43" s="234"/>
      <c r="CA43" s="234"/>
      <c r="CB43" s="234"/>
      <c r="CC43" s="234"/>
      <c r="CD43" s="234"/>
      <c r="CE43" s="234"/>
      <c r="CF43" s="234"/>
      <c r="CG43" s="234"/>
      <c r="CH43" s="234"/>
      <c r="CI43" s="234"/>
      <c r="CJ43" s="234"/>
      <c r="CK43" s="234"/>
    </row>
    <row r="44" spans="1:89" s="251" customFormat="1" ht="12" customHeight="1">
      <c r="A44" s="244" t="s">
        <v>135</v>
      </c>
      <c r="B44" s="245"/>
      <c r="C44" s="236">
        <v>584</v>
      </c>
      <c r="D44" s="246"/>
      <c r="E44" s="247">
        <v>577</v>
      </c>
      <c r="F44" s="248"/>
      <c r="G44" s="247">
        <v>640</v>
      </c>
      <c r="H44" s="249">
        <v>769</v>
      </c>
      <c r="I44" s="249">
        <v>588</v>
      </c>
      <c r="J44" s="241">
        <v>628</v>
      </c>
      <c r="K44" s="248"/>
      <c r="L44" s="250">
        <v>736</v>
      </c>
      <c r="M44" s="243">
        <v>560</v>
      </c>
      <c r="N44" s="243">
        <v>655</v>
      </c>
      <c r="O44" s="243">
        <v>649</v>
      </c>
      <c r="P44" s="234"/>
      <c r="Q44" s="39">
        <v>759</v>
      </c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4"/>
      <c r="AS44" s="234"/>
      <c r="AT44" s="234"/>
      <c r="AU44" s="234"/>
      <c r="AV44" s="234"/>
      <c r="AW44" s="234"/>
      <c r="AX44" s="234"/>
      <c r="AY44" s="234"/>
      <c r="AZ44" s="234"/>
      <c r="BA44" s="234"/>
      <c r="BB44" s="234"/>
      <c r="BC44" s="234"/>
      <c r="BD44" s="234"/>
      <c r="BE44" s="234"/>
      <c r="BF44" s="234"/>
      <c r="BG44" s="234"/>
      <c r="BH44" s="234"/>
      <c r="BI44" s="234"/>
      <c r="BJ44" s="234"/>
      <c r="BK44" s="234"/>
      <c r="BL44" s="234"/>
      <c r="BM44" s="234"/>
      <c r="BN44" s="234"/>
      <c r="BO44" s="234"/>
      <c r="BP44" s="234"/>
      <c r="BQ44" s="234"/>
      <c r="BR44" s="234"/>
      <c r="BS44" s="234"/>
      <c r="BT44" s="234"/>
      <c r="BU44" s="234"/>
      <c r="BV44" s="234"/>
      <c r="BW44" s="234"/>
      <c r="BX44" s="234"/>
      <c r="BY44" s="234"/>
      <c r="BZ44" s="234"/>
      <c r="CA44" s="234"/>
      <c r="CB44" s="234"/>
      <c r="CC44" s="234"/>
      <c r="CD44" s="234"/>
      <c r="CE44" s="234"/>
      <c r="CF44" s="234"/>
      <c r="CG44" s="234"/>
      <c r="CH44" s="234"/>
      <c r="CI44" s="234"/>
      <c r="CJ44" s="234"/>
      <c r="CK44" s="234"/>
    </row>
    <row r="45" spans="1:89" s="251" customFormat="1" ht="12" customHeight="1">
      <c r="A45" s="244" t="s">
        <v>144</v>
      </c>
      <c r="B45" s="245"/>
      <c r="C45" s="236">
        <v>522</v>
      </c>
      <c r="D45" s="246"/>
      <c r="E45" s="247">
        <v>450</v>
      </c>
      <c r="F45" s="248"/>
      <c r="G45" s="247">
        <v>341</v>
      </c>
      <c r="H45" s="249">
        <v>542</v>
      </c>
      <c r="I45" s="249">
        <v>418</v>
      </c>
      <c r="J45" s="241">
        <v>636</v>
      </c>
      <c r="K45" s="248"/>
      <c r="L45" s="250">
        <v>452</v>
      </c>
      <c r="M45" s="243">
        <v>473</v>
      </c>
      <c r="N45" s="243">
        <v>331</v>
      </c>
      <c r="O45" s="243">
        <v>416</v>
      </c>
      <c r="P45" s="234"/>
      <c r="Q45" s="516">
        <v>428</v>
      </c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  <c r="BB45" s="234"/>
      <c r="BC45" s="234"/>
      <c r="BD45" s="234"/>
      <c r="BE45" s="234"/>
      <c r="BF45" s="234"/>
      <c r="BG45" s="234"/>
      <c r="BH45" s="234"/>
      <c r="BI45" s="234"/>
      <c r="BJ45" s="234"/>
      <c r="BK45" s="234"/>
      <c r="BL45" s="234"/>
      <c r="BM45" s="234"/>
      <c r="BN45" s="234"/>
      <c r="BO45" s="234"/>
      <c r="BP45" s="234"/>
      <c r="BQ45" s="234"/>
      <c r="BR45" s="234"/>
      <c r="BS45" s="234"/>
      <c r="BT45" s="234"/>
      <c r="BU45" s="234"/>
      <c r="BV45" s="234"/>
      <c r="BW45" s="234"/>
      <c r="BX45" s="234"/>
      <c r="BY45" s="234"/>
      <c r="BZ45" s="234"/>
      <c r="CA45" s="234"/>
      <c r="CB45" s="234"/>
      <c r="CC45" s="234"/>
      <c r="CD45" s="234"/>
      <c r="CE45" s="234"/>
      <c r="CF45" s="234"/>
      <c r="CG45" s="234"/>
      <c r="CH45" s="234"/>
      <c r="CI45" s="234"/>
      <c r="CJ45" s="234"/>
      <c r="CK45" s="234"/>
    </row>
    <row r="46" spans="1:89" s="251" customFormat="1" ht="12" customHeight="1">
      <c r="A46" s="244" t="s">
        <v>138</v>
      </c>
      <c r="B46" s="245"/>
      <c r="C46" s="236">
        <v>533</v>
      </c>
      <c r="D46" s="246"/>
      <c r="E46" s="247">
        <v>594</v>
      </c>
      <c r="F46" s="248"/>
      <c r="G46" s="247">
        <v>604</v>
      </c>
      <c r="H46" s="249">
        <v>853</v>
      </c>
      <c r="I46" s="249">
        <v>745</v>
      </c>
      <c r="J46" s="241">
        <v>621</v>
      </c>
      <c r="K46" s="248"/>
      <c r="L46" s="250">
        <v>758</v>
      </c>
      <c r="M46" s="243">
        <v>844</v>
      </c>
      <c r="N46" s="243">
        <v>915</v>
      </c>
      <c r="O46" s="243">
        <v>698</v>
      </c>
      <c r="P46" s="234"/>
      <c r="Q46" s="7">
        <v>663</v>
      </c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4"/>
      <c r="BQ46" s="234"/>
      <c r="BR46" s="234"/>
      <c r="BS46" s="234"/>
      <c r="BT46" s="234"/>
      <c r="BU46" s="234"/>
      <c r="BV46" s="234"/>
      <c r="BW46" s="234"/>
      <c r="BX46" s="234"/>
      <c r="BY46" s="234"/>
      <c r="BZ46" s="234"/>
      <c r="CA46" s="234"/>
      <c r="CB46" s="234"/>
      <c r="CC46" s="234"/>
      <c r="CD46" s="234"/>
      <c r="CE46" s="234"/>
      <c r="CF46" s="234"/>
      <c r="CG46" s="234"/>
      <c r="CH46" s="234"/>
      <c r="CI46" s="234"/>
      <c r="CJ46" s="234"/>
      <c r="CK46" s="234"/>
    </row>
    <row r="47" spans="1:89" s="251" customFormat="1" ht="12" customHeight="1">
      <c r="A47" s="252" t="s">
        <v>141</v>
      </c>
      <c r="B47" s="253"/>
      <c r="C47" s="247">
        <f>+C40+C42+C43+C44+C45+C46</f>
        <v>3840</v>
      </c>
      <c r="D47" s="246"/>
      <c r="E47" s="247">
        <f>+E40+E42+E43+E44+E45+E46</f>
        <v>5085</v>
      </c>
      <c r="F47" s="248"/>
      <c r="G47" s="247">
        <f>+G40+G42+G43+G44+G45+G46</f>
        <v>5764</v>
      </c>
      <c r="H47" s="249">
        <f>+H40+H42+H43+H44+H45+H46</f>
        <v>5640</v>
      </c>
      <c r="I47" s="249">
        <f>+I40+I42+I43+I44+I45+I46</f>
        <v>4480</v>
      </c>
      <c r="J47" s="241">
        <f>+J40+J42+J43+J44+J45+J46</f>
        <v>4955</v>
      </c>
      <c r="K47" s="248"/>
      <c r="L47" s="250">
        <f>+L40+L42+L43+L44+L45+L46</f>
        <v>5331</v>
      </c>
      <c r="M47" s="243">
        <f>+M40+M41+M42+M43+M44+M45+M46</f>
        <v>5220</v>
      </c>
      <c r="N47" s="243">
        <f>+N40+N41+N42+N43+N44+N45+N46</f>
        <v>4925</v>
      </c>
      <c r="O47" s="243">
        <f>+O40+O41+O42+O43+O44+O45+O46</f>
        <v>4639</v>
      </c>
      <c r="P47" s="234"/>
      <c r="Q47" s="39">
        <f>+Q40+Q42+Q43+Q44+Q45+Q46+Q41</f>
        <v>5054</v>
      </c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4"/>
      <c r="BE47" s="234"/>
      <c r="BF47" s="234"/>
      <c r="BG47" s="234"/>
      <c r="BH47" s="234"/>
      <c r="BI47" s="234"/>
      <c r="BJ47" s="234"/>
      <c r="BK47" s="234"/>
      <c r="BL47" s="234"/>
      <c r="BM47" s="234"/>
      <c r="BN47" s="234"/>
      <c r="BO47" s="234"/>
      <c r="BP47" s="234"/>
      <c r="BQ47" s="234"/>
      <c r="BR47" s="234"/>
      <c r="BS47" s="234"/>
      <c r="BT47" s="234"/>
      <c r="BU47" s="234"/>
      <c r="BV47" s="234"/>
      <c r="BW47" s="234"/>
      <c r="BX47" s="234"/>
      <c r="BY47" s="234"/>
      <c r="BZ47" s="234"/>
      <c r="CA47" s="234"/>
      <c r="CB47" s="234"/>
      <c r="CC47" s="234"/>
      <c r="CD47" s="234"/>
      <c r="CE47" s="234"/>
      <c r="CF47" s="234"/>
      <c r="CG47" s="234"/>
      <c r="CH47" s="234"/>
      <c r="CI47" s="234"/>
      <c r="CJ47" s="234"/>
      <c r="CK47" s="234"/>
    </row>
    <row r="48" spans="1:89" s="251" customFormat="1" ht="12" customHeight="1">
      <c r="A48" s="200" t="s">
        <v>157</v>
      </c>
      <c r="B48" s="199"/>
      <c r="C48" s="254">
        <f>C47+C39</f>
        <v>8035</v>
      </c>
      <c r="D48" s="255"/>
      <c r="E48" s="254">
        <f>E47+E39</f>
        <v>12841</v>
      </c>
      <c r="F48" s="256"/>
      <c r="G48" s="254">
        <f>G47+G39</f>
        <v>13103</v>
      </c>
      <c r="H48" s="257">
        <f>H47+H39</f>
        <v>14413</v>
      </c>
      <c r="I48" s="257">
        <f>I47+I39</f>
        <v>13771</v>
      </c>
      <c r="J48" s="258">
        <f>J47+J39</f>
        <v>14200</v>
      </c>
      <c r="K48" s="256"/>
      <c r="L48" s="259">
        <f>L47+L39</f>
        <v>13803</v>
      </c>
      <c r="M48" s="260">
        <f>M47+M39</f>
        <v>13578</v>
      </c>
      <c r="N48" s="260">
        <f>N47+N39</f>
        <v>13563</v>
      </c>
      <c r="O48" s="260">
        <f>O47+O39</f>
        <v>13691</v>
      </c>
      <c r="P48" s="234"/>
      <c r="Q48" s="517">
        <f>Q47+Q39</f>
        <v>14051</v>
      </c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4"/>
      <c r="AK48" s="234"/>
      <c r="AL48" s="234"/>
      <c r="AM48" s="234"/>
      <c r="AN48" s="234"/>
      <c r="AO48" s="234"/>
      <c r="AP48" s="234"/>
      <c r="AQ48" s="234"/>
      <c r="AR48" s="234"/>
      <c r="AS48" s="234"/>
      <c r="AT48" s="234"/>
      <c r="AU48" s="234"/>
      <c r="AV48" s="234"/>
      <c r="AW48" s="234"/>
      <c r="AX48" s="234"/>
      <c r="AY48" s="234"/>
      <c r="AZ48" s="234"/>
      <c r="BA48" s="234"/>
      <c r="BB48" s="234"/>
      <c r="BC48" s="234"/>
      <c r="BD48" s="234"/>
      <c r="BE48" s="234"/>
      <c r="BF48" s="234"/>
      <c r="BG48" s="234"/>
      <c r="BH48" s="234"/>
      <c r="BI48" s="234"/>
      <c r="BJ48" s="234"/>
      <c r="BK48" s="234"/>
      <c r="BL48" s="234"/>
      <c r="BM48" s="234"/>
      <c r="BN48" s="234"/>
      <c r="BO48" s="234"/>
      <c r="BP48" s="234"/>
      <c r="BQ48" s="234"/>
      <c r="BR48" s="234"/>
      <c r="BS48" s="234"/>
      <c r="BT48" s="234"/>
      <c r="BU48" s="234"/>
      <c r="BV48" s="234"/>
      <c r="BW48" s="234"/>
      <c r="BX48" s="234"/>
      <c r="BY48" s="234"/>
      <c r="BZ48" s="234"/>
      <c r="CA48" s="234"/>
      <c r="CB48" s="234"/>
      <c r="CC48" s="234"/>
      <c r="CD48" s="234"/>
      <c r="CE48" s="234"/>
      <c r="CF48" s="234"/>
      <c r="CG48" s="234"/>
      <c r="CH48" s="234"/>
      <c r="CI48" s="234"/>
      <c r="CJ48" s="234"/>
      <c r="CK48" s="234"/>
    </row>
    <row r="49" spans="1:89" s="251" customFormat="1" ht="12" customHeight="1">
      <c r="A49" s="200" t="s">
        <v>143</v>
      </c>
      <c r="B49" s="199"/>
      <c r="C49" s="254">
        <f>C48+C33</f>
        <v>32312</v>
      </c>
      <c r="D49" s="255"/>
      <c r="E49" s="254">
        <f>E48+E33</f>
        <v>33120</v>
      </c>
      <c r="F49" s="256"/>
      <c r="G49" s="254">
        <f>G48+G33</f>
        <v>33824</v>
      </c>
      <c r="H49" s="257">
        <f>H48+H33</f>
        <v>35013</v>
      </c>
      <c r="I49" s="257">
        <f>I48+I33</f>
        <v>35066</v>
      </c>
      <c r="J49" s="258">
        <f>J48+J33</f>
        <v>30100</v>
      </c>
      <c r="K49" s="256"/>
      <c r="L49" s="259">
        <f>L48+L33</f>
        <v>30548</v>
      </c>
      <c r="M49" s="260">
        <f>M48+M33</f>
        <v>30728</v>
      </c>
      <c r="N49" s="260">
        <f>N48+N33</f>
        <v>31332</v>
      </c>
      <c r="O49" s="260">
        <f>O48+O33</f>
        <v>30947</v>
      </c>
      <c r="P49" s="234"/>
      <c r="Q49" s="3">
        <f>Q48+Q33</f>
        <v>31480</v>
      </c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4"/>
      <c r="BQ49" s="234"/>
      <c r="BR49" s="234"/>
      <c r="BS49" s="234"/>
      <c r="BT49" s="234"/>
      <c r="BU49" s="234"/>
      <c r="BV49" s="234"/>
      <c r="BW49" s="234"/>
      <c r="BX49" s="234"/>
      <c r="BY49" s="234"/>
      <c r="BZ49" s="234"/>
      <c r="CA49" s="234"/>
      <c r="CB49" s="234"/>
      <c r="CC49" s="234"/>
      <c r="CD49" s="234"/>
      <c r="CE49" s="234"/>
      <c r="CF49" s="234"/>
      <c r="CG49" s="234"/>
      <c r="CH49" s="234"/>
      <c r="CI49" s="234"/>
      <c r="CJ49" s="234"/>
      <c r="CK49" s="234"/>
    </row>
    <row r="50" spans="3:11" ht="12" customHeight="1">
      <c r="C50" s="270"/>
      <c r="D50" s="271"/>
      <c r="E50" s="272"/>
      <c r="F50" s="273"/>
      <c r="G50" s="272"/>
      <c r="H50" s="272"/>
      <c r="I50" s="272"/>
      <c r="J50" s="270"/>
      <c r="K50" s="273"/>
    </row>
    <row r="51" spans="3:11" ht="11.25">
      <c r="C51" s="270"/>
      <c r="E51" s="270"/>
      <c r="F51" s="274"/>
      <c r="G51" s="270"/>
      <c r="H51" s="270"/>
      <c r="I51" s="270"/>
      <c r="J51" s="270"/>
      <c r="K51" s="274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S21"/>
  <sheetViews>
    <sheetView zoomScale="110" zoomScaleNormal="110" zoomScalePageLayoutView="0" workbookViewId="0" topLeftCell="A1">
      <selection activeCell="R6" sqref="R6"/>
    </sheetView>
  </sheetViews>
  <sheetFormatPr defaultColWidth="9.140625" defaultRowHeight="12.75"/>
  <cols>
    <col min="2" max="2" width="40.00390625" style="0" customWidth="1"/>
  </cols>
  <sheetData>
    <row r="1" ht="13.5" thickBot="1"/>
    <row r="2" spans="2:17" ht="30.75" thickBot="1">
      <c r="B2" s="402" t="s">
        <v>210</v>
      </c>
      <c r="C2" s="438">
        <v>2015</v>
      </c>
      <c r="D2" s="439" t="s">
        <v>189</v>
      </c>
      <c r="E2" s="440" t="s">
        <v>190</v>
      </c>
      <c r="F2" s="440" t="s">
        <v>191</v>
      </c>
      <c r="G2" s="465" t="s">
        <v>192</v>
      </c>
      <c r="H2" s="471">
        <v>2016</v>
      </c>
      <c r="I2" s="468" t="s">
        <v>193</v>
      </c>
      <c r="J2" s="441" t="s">
        <v>194</v>
      </c>
      <c r="K2" s="440" t="s">
        <v>195</v>
      </c>
      <c r="L2" s="440" t="s">
        <v>196</v>
      </c>
      <c r="M2" s="440" t="s">
        <v>220</v>
      </c>
      <c r="N2" s="471">
        <v>2017</v>
      </c>
      <c r="O2" s="468" t="s">
        <v>221</v>
      </c>
      <c r="P2" s="541" t="s">
        <v>232</v>
      </c>
      <c r="Q2" s="542" t="s">
        <v>233</v>
      </c>
    </row>
    <row r="3" spans="2:17" ht="12.75">
      <c r="B3" s="405" t="s">
        <v>98</v>
      </c>
      <c r="C3" s="445"/>
      <c r="D3" s="446"/>
      <c r="E3" s="447"/>
      <c r="F3" s="447"/>
      <c r="G3" s="466"/>
      <c r="H3" s="472"/>
      <c r="I3" s="469"/>
      <c r="J3" s="448"/>
      <c r="K3" s="449"/>
      <c r="L3" s="447"/>
      <c r="M3" s="447"/>
      <c r="N3" s="472"/>
      <c r="O3" s="406"/>
      <c r="P3" s="489"/>
      <c r="Q3" s="406"/>
    </row>
    <row r="4" spans="2:17" ht="12.75">
      <c r="B4" s="407" t="s">
        <v>211</v>
      </c>
      <c r="C4" s="408">
        <v>574.3</v>
      </c>
      <c r="D4" s="409">
        <v>128.1</v>
      </c>
      <c r="E4" s="410">
        <v>134.9</v>
      </c>
      <c r="F4" s="410">
        <v>137.7</v>
      </c>
      <c r="G4" s="411">
        <v>135</v>
      </c>
      <c r="H4" s="464">
        <v>535.6</v>
      </c>
      <c r="I4" s="470">
        <f aca="true" t="shared" si="0" ref="I4:I9">H4/C4-1</f>
        <v>-0.06738638342329784</v>
      </c>
      <c r="J4" s="414">
        <v>130.6</v>
      </c>
      <c r="K4" s="410">
        <v>133.6</v>
      </c>
      <c r="L4" s="410">
        <v>135.6</v>
      </c>
      <c r="M4" s="410">
        <v>122.2</v>
      </c>
      <c r="N4" s="464">
        <v>522</v>
      </c>
      <c r="O4" s="506">
        <f aca="true" t="shared" si="1" ref="O4:O9">N4/H4-1</f>
        <v>-0.025392083644510843</v>
      </c>
      <c r="P4" s="543">
        <v>110.8</v>
      </c>
      <c r="Q4" s="548">
        <f aca="true" t="shared" si="2" ref="Q4:Q9">P4/J4-1</f>
        <v>-0.15160796324655434</v>
      </c>
    </row>
    <row r="5" spans="2:17" ht="12.75">
      <c r="B5" s="407" t="s">
        <v>212</v>
      </c>
      <c r="C5" s="408">
        <v>263.7</v>
      </c>
      <c r="D5" s="409">
        <v>66.7</v>
      </c>
      <c r="E5" s="410">
        <v>72.3</v>
      </c>
      <c r="F5" s="410">
        <v>73.3</v>
      </c>
      <c r="G5" s="411">
        <v>55.1</v>
      </c>
      <c r="H5" s="464">
        <v>267.4</v>
      </c>
      <c r="I5" s="470">
        <f t="shared" si="0"/>
        <v>0.014031095942358629</v>
      </c>
      <c r="J5" s="414">
        <v>69.7</v>
      </c>
      <c r="K5" s="410">
        <v>67.3</v>
      </c>
      <c r="L5" s="410">
        <v>73.6</v>
      </c>
      <c r="M5" s="410">
        <v>47.3</v>
      </c>
      <c r="N5" s="464">
        <v>257.9</v>
      </c>
      <c r="O5" s="506">
        <f t="shared" si="1"/>
        <v>-0.035527299925205647</v>
      </c>
      <c r="P5" s="543">
        <v>66.2</v>
      </c>
      <c r="Q5" s="548">
        <f t="shared" si="2"/>
        <v>-0.050215208034433245</v>
      </c>
    </row>
    <row r="6" spans="2:17" ht="12.75">
      <c r="B6" s="407" t="s">
        <v>213</v>
      </c>
      <c r="C6" s="408">
        <v>12.7</v>
      </c>
      <c r="D6" s="409">
        <v>3.4</v>
      </c>
      <c r="E6" s="410">
        <v>2.8</v>
      </c>
      <c r="F6" s="410">
        <v>3.6</v>
      </c>
      <c r="G6" s="411">
        <v>3.1</v>
      </c>
      <c r="H6" s="464">
        <v>13</v>
      </c>
      <c r="I6" s="470">
        <f t="shared" si="0"/>
        <v>0.023622047244094446</v>
      </c>
      <c r="J6" s="414">
        <v>4.3</v>
      </c>
      <c r="K6" s="410">
        <v>3.7</v>
      </c>
      <c r="L6" s="410">
        <v>4.1</v>
      </c>
      <c r="M6" s="410">
        <v>1.6</v>
      </c>
      <c r="N6" s="464">
        <v>13.7</v>
      </c>
      <c r="O6" s="506">
        <f t="shared" si="1"/>
        <v>0.05384615384615388</v>
      </c>
      <c r="P6" s="543">
        <v>3.9</v>
      </c>
      <c r="Q6" s="548">
        <f t="shared" si="2"/>
        <v>-0.09302325581395343</v>
      </c>
    </row>
    <row r="7" spans="2:17" ht="12.75">
      <c r="B7" s="407" t="s">
        <v>201</v>
      </c>
      <c r="C7" s="408">
        <v>1283</v>
      </c>
      <c r="D7" s="409">
        <v>295</v>
      </c>
      <c r="E7" s="410">
        <v>272</v>
      </c>
      <c r="F7" s="410">
        <v>321</v>
      </c>
      <c r="G7" s="411">
        <v>303</v>
      </c>
      <c r="H7" s="464">
        <v>1191</v>
      </c>
      <c r="I7" s="470">
        <f t="shared" si="0"/>
        <v>-0.07170693686671858</v>
      </c>
      <c r="J7" s="414">
        <v>293.5</v>
      </c>
      <c r="K7" s="410">
        <v>298.4</v>
      </c>
      <c r="L7" s="410">
        <v>323.8</v>
      </c>
      <c r="M7" s="410">
        <v>302.5</v>
      </c>
      <c r="N7" s="464">
        <v>1218.2</v>
      </c>
      <c r="O7" s="506">
        <f t="shared" si="1"/>
        <v>0.022837951301427406</v>
      </c>
      <c r="P7" s="543">
        <v>239.3</v>
      </c>
      <c r="Q7" s="548">
        <f t="shared" si="2"/>
        <v>-0.18466780238500846</v>
      </c>
    </row>
    <row r="8" spans="2:17" ht="12.75">
      <c r="B8" s="407" t="s">
        <v>214</v>
      </c>
      <c r="C8" s="408">
        <v>86.9</v>
      </c>
      <c r="D8" s="409">
        <v>26.2</v>
      </c>
      <c r="E8" s="410">
        <v>27.3</v>
      </c>
      <c r="F8" s="410">
        <v>30.7</v>
      </c>
      <c r="G8" s="411">
        <v>29.6</v>
      </c>
      <c r="H8" s="464">
        <v>113.8</v>
      </c>
      <c r="I8" s="470">
        <f t="shared" si="0"/>
        <v>0.3095512082853853</v>
      </c>
      <c r="J8" s="414">
        <v>33.5</v>
      </c>
      <c r="K8" s="410">
        <v>21.9</v>
      </c>
      <c r="L8" s="410">
        <v>31.3</v>
      </c>
      <c r="M8" s="410">
        <v>30.64</v>
      </c>
      <c r="N8" s="464">
        <v>117.3</v>
      </c>
      <c r="O8" s="506">
        <f t="shared" si="1"/>
        <v>0.03075571177504388</v>
      </c>
      <c r="P8" s="543">
        <v>18.3</v>
      </c>
      <c r="Q8" s="548">
        <f t="shared" si="2"/>
        <v>-0.4537313432835821</v>
      </c>
    </row>
    <row r="9" spans="2:17" ht="13.5" thickBot="1">
      <c r="B9" s="407" t="s">
        <v>203</v>
      </c>
      <c r="C9" s="417">
        <v>29.3</v>
      </c>
      <c r="D9" s="418">
        <v>8</v>
      </c>
      <c r="E9" s="419">
        <v>7.8</v>
      </c>
      <c r="F9" s="419">
        <v>6.3</v>
      </c>
      <c r="G9" s="420">
        <v>8</v>
      </c>
      <c r="H9" s="473">
        <v>30.1</v>
      </c>
      <c r="I9" s="510">
        <f t="shared" si="0"/>
        <v>0.027303754266211566</v>
      </c>
      <c r="J9" s="431">
        <v>7.8</v>
      </c>
      <c r="K9" s="429">
        <v>7.7</v>
      </c>
      <c r="L9" s="429">
        <v>6.3</v>
      </c>
      <c r="M9" s="429">
        <v>8.2</v>
      </c>
      <c r="N9" s="473">
        <v>30</v>
      </c>
      <c r="O9" s="507">
        <f t="shared" si="1"/>
        <v>-0.0033222591362126463</v>
      </c>
      <c r="P9" s="562">
        <v>7.5</v>
      </c>
      <c r="Q9" s="548">
        <f t="shared" si="2"/>
        <v>-0.038461538461538436</v>
      </c>
    </row>
    <row r="10" spans="2:17" ht="12.75">
      <c r="B10" s="405" t="s">
        <v>204</v>
      </c>
      <c r="C10" s="442"/>
      <c r="D10" s="443"/>
      <c r="E10" s="444"/>
      <c r="F10" s="444"/>
      <c r="G10" s="467"/>
      <c r="H10" s="474"/>
      <c r="I10" s="436"/>
      <c r="J10" s="437"/>
      <c r="K10" s="450"/>
      <c r="L10" s="434"/>
      <c r="M10" s="434"/>
      <c r="N10" s="474"/>
      <c r="O10" s="508"/>
      <c r="P10" s="462"/>
      <c r="Q10" s="494"/>
    </row>
    <row r="11" spans="2:17" ht="12.75">
      <c r="B11" s="407" t="s">
        <v>205</v>
      </c>
      <c r="C11" s="408">
        <v>97.6</v>
      </c>
      <c r="D11" s="409">
        <v>23.7</v>
      </c>
      <c r="E11" s="410">
        <v>23.1</v>
      </c>
      <c r="F11" s="410">
        <v>22.1</v>
      </c>
      <c r="G11" s="411">
        <v>20.9</v>
      </c>
      <c r="H11" s="475">
        <v>89.8</v>
      </c>
      <c r="I11" s="499">
        <f>H11/C11-1</f>
        <v>-0.07991803278688525</v>
      </c>
      <c r="J11" s="414">
        <v>17.2</v>
      </c>
      <c r="K11" s="410">
        <v>21.5</v>
      </c>
      <c r="L11" s="410">
        <v>21.9</v>
      </c>
      <c r="M11" s="410">
        <v>20.4</v>
      </c>
      <c r="N11" s="475">
        <v>81</v>
      </c>
      <c r="O11" s="506">
        <f>N11/H11-1</f>
        <v>-0.09799554565701551</v>
      </c>
      <c r="P11" s="461">
        <v>20.1</v>
      </c>
      <c r="Q11" s="548">
        <f>P11/J11-1</f>
        <v>0.16860465116279078</v>
      </c>
    </row>
    <row r="12" spans="2:17" ht="12.75">
      <c r="B12" s="407" t="s">
        <v>206</v>
      </c>
      <c r="C12" s="408">
        <v>2.2</v>
      </c>
      <c r="D12" s="409">
        <v>0.5</v>
      </c>
      <c r="E12" s="410">
        <v>0.6</v>
      </c>
      <c r="F12" s="410">
        <v>0.5</v>
      </c>
      <c r="G12" s="411">
        <v>0.5</v>
      </c>
      <c r="H12" s="475">
        <v>2.1</v>
      </c>
      <c r="I12" s="499">
        <f>H12/C12-1</f>
        <v>-0.045454545454545525</v>
      </c>
      <c r="J12" s="414">
        <v>0.3</v>
      </c>
      <c r="K12" s="410">
        <v>0.3</v>
      </c>
      <c r="L12" s="410">
        <v>0.3</v>
      </c>
      <c r="M12" s="410">
        <v>0.2</v>
      </c>
      <c r="N12" s="475">
        <v>1.1</v>
      </c>
      <c r="O12" s="506">
        <f>N12/H12-1</f>
        <v>-0.47619047619047616</v>
      </c>
      <c r="P12" s="461">
        <v>0.2</v>
      </c>
      <c r="Q12" s="548">
        <f>P12/J12-1</f>
        <v>-0.33333333333333326</v>
      </c>
    </row>
    <row r="13" spans="2:17" ht="13.5" thickBot="1">
      <c r="B13" s="407" t="s">
        <v>207</v>
      </c>
      <c r="C13" s="427">
        <v>95.3</v>
      </c>
      <c r="D13" s="428">
        <v>22.4</v>
      </c>
      <c r="E13" s="429">
        <v>24.5</v>
      </c>
      <c r="F13" s="429">
        <v>24.6</v>
      </c>
      <c r="G13" s="430">
        <v>20.6</v>
      </c>
      <c r="H13" s="476">
        <v>92.1</v>
      </c>
      <c r="I13" s="502">
        <f>H13/C13-1</f>
        <v>-0.033578174186778664</v>
      </c>
      <c r="J13" s="422">
        <v>14.5</v>
      </c>
      <c r="K13" s="419">
        <v>21.3</v>
      </c>
      <c r="L13" s="419">
        <v>19.4</v>
      </c>
      <c r="M13" s="419">
        <v>18.8</v>
      </c>
      <c r="N13" s="476">
        <v>74</v>
      </c>
      <c r="O13" s="507">
        <f>N13/H13-1</f>
        <v>-0.19652551574375676</v>
      </c>
      <c r="P13" s="463">
        <v>15.8</v>
      </c>
      <c r="Q13" s="548">
        <f>P13/J13-1</f>
        <v>0.08965517241379306</v>
      </c>
    </row>
    <row r="14" spans="2:17" ht="12.75">
      <c r="B14" s="405" t="s">
        <v>215</v>
      </c>
      <c r="C14" s="432"/>
      <c r="D14" s="433"/>
      <c r="E14" s="434"/>
      <c r="F14" s="434"/>
      <c r="G14" s="435"/>
      <c r="H14" s="477"/>
      <c r="I14" s="436"/>
      <c r="J14" s="437"/>
      <c r="K14" s="450"/>
      <c r="L14" s="434"/>
      <c r="M14" s="434"/>
      <c r="N14" s="477"/>
      <c r="O14" s="508"/>
      <c r="P14" s="462"/>
      <c r="Q14" s="494"/>
    </row>
    <row r="15" spans="2:19" ht="12.75">
      <c r="B15" s="407" t="s">
        <v>205</v>
      </c>
      <c r="C15" s="408">
        <v>46.3</v>
      </c>
      <c r="D15" s="409">
        <v>14.5</v>
      </c>
      <c r="E15" s="410">
        <v>12.1</v>
      </c>
      <c r="F15" s="410">
        <v>11.3</v>
      </c>
      <c r="G15" s="411">
        <v>13.6</v>
      </c>
      <c r="H15" s="475">
        <v>51.5</v>
      </c>
      <c r="I15" s="499">
        <f>H15/C15-1</f>
        <v>0.11231101511879049</v>
      </c>
      <c r="J15" s="414">
        <v>14</v>
      </c>
      <c r="K15" s="410">
        <v>13.2</v>
      </c>
      <c r="L15" s="410">
        <v>12.8</v>
      </c>
      <c r="M15" s="410">
        <v>13.4</v>
      </c>
      <c r="N15" s="475">
        <v>53.4</v>
      </c>
      <c r="O15" s="506">
        <f>N15/H15-1</f>
        <v>0.03689320388349504</v>
      </c>
      <c r="P15" s="461">
        <v>12</v>
      </c>
      <c r="Q15" s="548">
        <v>-0.145</v>
      </c>
      <c r="S15" s="566"/>
    </row>
    <row r="16" spans="2:19" ht="12.75">
      <c r="B16" s="407" t="s">
        <v>216</v>
      </c>
      <c r="C16" s="408">
        <v>8.1</v>
      </c>
      <c r="D16" s="409">
        <v>4.9</v>
      </c>
      <c r="E16" s="410">
        <v>2</v>
      </c>
      <c r="F16" s="410">
        <v>2.5</v>
      </c>
      <c r="G16" s="411">
        <v>2.9</v>
      </c>
      <c r="H16" s="475">
        <v>12.2</v>
      </c>
      <c r="I16" s="499">
        <f>H16/C16-1</f>
        <v>0.5061728395061729</v>
      </c>
      <c r="J16" s="414">
        <v>4.8</v>
      </c>
      <c r="K16" s="410">
        <v>8.2</v>
      </c>
      <c r="L16" s="410">
        <v>3.4</v>
      </c>
      <c r="M16" s="410">
        <v>3.3</v>
      </c>
      <c r="N16" s="475">
        <v>19.7</v>
      </c>
      <c r="O16" s="506">
        <f>N16/H16-1</f>
        <v>0.6147540983606559</v>
      </c>
      <c r="P16" s="461">
        <v>4</v>
      </c>
      <c r="Q16" s="548">
        <v>-0.182</v>
      </c>
      <c r="S16" s="566"/>
    </row>
    <row r="17" spans="2:19" ht="13.5" thickBot="1">
      <c r="B17" s="407" t="s">
        <v>217</v>
      </c>
      <c r="C17" s="417">
        <v>22.8</v>
      </c>
      <c r="D17" s="418">
        <v>7.1</v>
      </c>
      <c r="E17" s="419">
        <v>4.2</v>
      </c>
      <c r="F17" s="419">
        <v>4</v>
      </c>
      <c r="G17" s="420">
        <v>7.5</v>
      </c>
      <c r="H17" s="478">
        <v>22.9</v>
      </c>
      <c r="I17" s="502">
        <f>H17/C17-1</f>
        <v>0.004385964912280604</v>
      </c>
      <c r="J17" s="422">
        <v>6.3</v>
      </c>
      <c r="K17" s="419">
        <v>7.2</v>
      </c>
      <c r="L17" s="419">
        <v>8.4</v>
      </c>
      <c r="M17" s="419">
        <v>6.1</v>
      </c>
      <c r="N17" s="478">
        <v>28</v>
      </c>
      <c r="O17" s="507">
        <f>N17/H17-1</f>
        <v>0.2227074235807862</v>
      </c>
      <c r="P17" s="463">
        <v>4.6</v>
      </c>
      <c r="Q17" s="565">
        <v>-0.263</v>
      </c>
      <c r="S17" s="566"/>
    </row>
    <row r="18" spans="2:13" ht="12.75">
      <c r="B18" s="424"/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424"/>
    </row>
    <row r="19" spans="2:13" ht="12.75">
      <c r="B19" s="423" t="s">
        <v>208</v>
      </c>
      <c r="C19" s="424"/>
      <c r="D19" s="424"/>
      <c r="E19" s="424"/>
      <c r="F19" s="424"/>
      <c r="G19" s="424"/>
      <c r="H19" s="424"/>
      <c r="I19" s="424"/>
      <c r="J19" s="424"/>
      <c r="K19" s="424"/>
      <c r="L19" s="424"/>
      <c r="M19" s="424"/>
    </row>
    <row r="20" spans="2:13" ht="12.75">
      <c r="B20" s="423" t="s">
        <v>209</v>
      </c>
      <c r="C20" s="424"/>
      <c r="D20" s="424"/>
      <c r="E20" s="424"/>
      <c r="F20" s="424"/>
      <c r="G20" s="424"/>
      <c r="H20" s="424"/>
      <c r="I20" s="424"/>
      <c r="J20" s="424"/>
      <c r="K20" s="424"/>
      <c r="L20" s="424"/>
      <c r="M20" s="424"/>
    </row>
    <row r="21" spans="2:13" ht="12.75">
      <c r="B21" s="425" t="s">
        <v>218</v>
      </c>
      <c r="C21" s="424"/>
      <c r="D21" s="424"/>
      <c r="E21" s="424"/>
      <c r="F21" s="424"/>
      <c r="G21" s="424"/>
      <c r="H21" s="424"/>
      <c r="I21" s="424"/>
      <c r="J21" s="424"/>
      <c r="K21" s="424"/>
      <c r="L21" s="424"/>
      <c r="M21" s="424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KGHM Polska Miedz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e.szkarupska</dc:creator>
  <cp:keywords/>
  <dc:description/>
  <cp:lastModifiedBy>KGHM Polska Miedź S.A.</cp:lastModifiedBy>
  <cp:lastPrinted>2017-05-19T09:00:46Z</cp:lastPrinted>
  <dcterms:created xsi:type="dcterms:W3CDTF">2005-09-12T06:47:42Z</dcterms:created>
  <dcterms:modified xsi:type="dcterms:W3CDTF">2018-05-15T11:57:19Z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2_-_dane_finansowe_grupa_kapitalowa_3q2017 do aktualizacji.xls</vt:lpwstr>
  </property>
</Properties>
</file>