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defaultThemeVersion="124226"/>
  <mc:AlternateContent xmlns:mc="http://schemas.openxmlformats.org/markup-compatibility/2006">
    <mc:Choice Requires="x15">
      <x15ac:absPath xmlns:x15ac="http://schemas.microsoft.com/office/spreadsheetml/2010/11/ac" url="\\kghm\bz\Grupa_NR\Centrum Wyników\2026\2Q26\"/>
    </mc:Choice>
  </mc:AlternateContent>
  <xr:revisionPtr revIDLastSave="0" documentId="13_ncr:1_{FE2BE83C-9D4C-46D7-9F5B-C27245DDFD36}" xr6:coauthVersionLast="47" xr6:coauthVersionMax="47" xr10:uidLastSave="{00000000-0000-0000-0000-000000000000}"/>
  <bookViews>
    <workbookView xWindow="-120" yWindow="-120" windowWidth="29040" windowHeight="17520" tabRatio="735" firstSheet="2" activeTab="2" xr2:uid="{F8E99A83-9FC5-4455-9F6F-8FCA07C366DC}"/>
  </bookViews>
  <sheets>
    <sheet name="BExRepositorySheet" sheetId="6" state="veryHidden" r:id="rId1"/>
    <sheet name="SNVeryHiddenParameterSheet" sheetId="8" state="veryHidden" r:id="rId2"/>
    <sheet name="Title page" sheetId="33" r:id="rId3"/>
    <sheet name="P&amp;L-Group" sheetId="20" r:id="rId4"/>
    <sheet name="Information on Segment results" sheetId="35" r:id="rId5"/>
    <sheet name="CF - Group" sheetId="22" r:id="rId6"/>
    <sheet name="Balance sheet - Group" sheetId="21" r:id="rId7"/>
    <sheet name="P&amp;L - Company" sheetId="30" r:id="rId8"/>
    <sheet name="CF - Company" sheetId="31" r:id="rId9"/>
    <sheet name="Balance sheet - Company" sheetId="29" r:id="rId10"/>
    <sheet name="Production volume - quarter" sheetId="16" r:id="rId11"/>
    <sheet name="Production volume - month" sheetId="27" r:id="rId12"/>
    <sheet name="Sales volume - quarter" sheetId="15" r:id="rId13"/>
    <sheet name="Sales volume - month" sheetId="28" r:id="rId14"/>
  </sheets>
  <definedNames>
    <definedName name="ausgabe_RZIS" localSheetId="3">'P&amp;L-Group'!$A$10:$H$39</definedName>
    <definedName name="ausgabe_RZIS">#REF!</definedName>
    <definedName name="jahr" localSheetId="3">'P&amp;L-Group'!#REF!</definedName>
    <definedName name="jahr" localSheetId="13">#REF!</definedName>
    <definedName name="jahr">#REF!</definedName>
    <definedName name="name_1" localSheetId="3">'P&amp;L-Group'!#REF!</definedName>
    <definedName name="name_1" localSheetId="13">#REF!</definedName>
    <definedName name="name_1">#REF!</definedName>
    <definedName name="_xlnm.Print_Area" localSheetId="9">'Balance sheet - Company'!$A$1:$BA$50</definedName>
    <definedName name="_xlnm.Print_Area" localSheetId="6">'Balance sheet - Group'!$A$1:$BB$55</definedName>
    <definedName name="_xlnm.Print_Area" localSheetId="8">'CF - Company'!$A$1:$BP$32</definedName>
    <definedName name="_xlnm.Print_Area" localSheetId="5">'CF - Group'!$A$1:$BQ$42</definedName>
    <definedName name="_xlnm.Print_Area" localSheetId="4">'Information on Segment results'!$A$1:$I$76</definedName>
    <definedName name="_xlnm.Print_Area" localSheetId="7">'P&amp;L - Company'!$A$1:$BS$63</definedName>
    <definedName name="_xlnm.Print_Area" localSheetId="3">'P&amp;L-Group'!$A$1:$BR$76</definedName>
    <definedName name="_xlnm.Print_Area" localSheetId="11">'Production volume - month'!$A$1:$CY$24</definedName>
    <definedName name="_xlnm.Print_Area" localSheetId="10">'Production volume - quarter'!$A$1:$BP$21</definedName>
    <definedName name="_xlnm.Print_Area" localSheetId="13">'Sales volume - month'!$A$1:$CY$22</definedName>
    <definedName name="_xlnm.Print_Area" localSheetId="12">'Sales volume - quarter'!$A$1:$BP$22</definedName>
    <definedName name="_xlnm.Print_Area" localSheetId="2">'Title page'!$A$1:$N$27</definedName>
    <definedName name="prog_1_POKRESBIEZACY04" localSheetId="3">'P&amp;L-Group'!#REF!</definedName>
    <definedName name="prog_1_POKRESBIEZACY04" localSheetId="13">#REF!</definedName>
    <definedName name="prog_1_POKRESBIEZACY04">#REF!</definedName>
    <definedName name="prog_1_POKRESPOPRZEDNI05" localSheetId="3">'P&amp;L-Group'!#REF!</definedName>
    <definedName name="prog_1_POKRESPOPRZEDNI05" localSheetId="13">#REF!</definedName>
    <definedName name="prog_1_POKRESPOPRZEDNI05">#REF!</definedName>
    <definedName name="prog_2_POKRESBIEZACY04" localSheetId="3">'P&amp;L-Group'!#REF!</definedName>
    <definedName name="prog_2_POKRESBIEZACY04" localSheetId="13">#REF!</definedName>
    <definedName name="prog_2_POKRESBIEZACY04">#REF!</definedName>
    <definedName name="prog_2_POKRESPOPRZEDNI05" localSheetId="3">'P&amp;L-Group'!#REF!</definedName>
    <definedName name="prog_2_POKRESPOPRZEDNI05" localSheetId="13">#REF!</definedName>
    <definedName name="prog_2_POKRESPOPRZEDNI05">#REF!</definedName>
    <definedName name="prog_3_POKRESBIEZACY04" localSheetId="3">'P&amp;L-Group'!#REF!</definedName>
    <definedName name="prog_3_POKRESBIEZACY04" localSheetId="13">#REF!</definedName>
    <definedName name="prog_3_POKRESBIEZACY04">#REF!</definedName>
    <definedName name="prog_3_POKRESPOPRZEDNI05" localSheetId="3">'P&amp;L-Group'!#REF!</definedName>
    <definedName name="prog_3_POKRESPOPRZEDNI05" localSheetId="13">#REF!</definedName>
    <definedName name="prog_3_POKRESPOPRZEDNI05">#REF!</definedName>
    <definedName name="spalte_wert_1" localSheetId="3">'P&amp;L-Group'!#REF!</definedName>
    <definedName name="spalte_wert_1" localSheetId="13">#REF!</definedName>
    <definedName name="spalte_wert_1">#REF!</definedName>
    <definedName name="spalte_wert_2" localSheetId="3">'P&amp;L-Group'!#REF!</definedName>
    <definedName name="spalte_wert_2" localSheetId="13">#REF!</definedName>
    <definedName name="spalte_wert_2">#REF!</definedName>
    <definedName name="spalte_wert_3" localSheetId="3">'P&amp;L-Group'!#REF!</definedName>
    <definedName name="spalte_wert_3" localSheetId="13">#REF!</definedName>
    <definedName name="spalte_wert_3">#REF!</definedName>
    <definedName name="stichtag" localSheetId="3">'P&amp;L-Group'!#REF!</definedName>
    <definedName name="stichtag" localSheetId="13">#REF!</definedName>
    <definedName name="stichtag">#REF!</definedName>
    <definedName name="value_1_POKRESBIEZACY04" localSheetId="3">'P&amp;L-Group'!#REF!</definedName>
    <definedName name="value_1_POKRESBIEZACY04" localSheetId="13">#REF!</definedName>
    <definedName name="value_1_POKRESBIEZACY04">#REF!</definedName>
    <definedName name="value_1_POKRESPOPRZEDNI05" localSheetId="3">'P&amp;L-Group'!$H:$H</definedName>
    <definedName name="value_1_POKRESPOPRZEDNI05">#REF!</definedName>
    <definedName name="value_2_POKRESBIEZACY04" localSheetId="3">'P&amp;L-Group'!#REF!</definedName>
    <definedName name="value_2_POKRESBIEZACY04" localSheetId="13">#REF!</definedName>
    <definedName name="value_2_POKRESBIEZACY04">#REF!</definedName>
    <definedName name="value_2_POKRESPOPRZEDNI05" localSheetId="3">'P&amp;L-Group'!#REF!</definedName>
    <definedName name="value_2_POKRESPOPRZEDNI05" localSheetId="13">#REF!</definedName>
    <definedName name="value_2_POKRESPOPRZEDNI05">#REF!</definedName>
    <definedName name="value_3_POKRESBIEZACY04" localSheetId="3">'P&amp;L-Group'!#REF!</definedName>
    <definedName name="value_3_POKRESBIEZACY04" localSheetId="13">#REF!</definedName>
    <definedName name="value_3_POKRESBIEZACY04">#REF!</definedName>
    <definedName name="value_3_POKRESPOPRZEDNI05" localSheetId="3">'P&amp;L-Group'!#REF!</definedName>
    <definedName name="value_3_POKRESPOPRZEDNI05" localSheetId="13">#REF!</definedName>
    <definedName name="value_3_POKRESPOPRZEDNI05">#REF!</definedName>
    <definedName name="vorjahr" localSheetId="3">'P&amp;L-Group'!#REF!</definedName>
    <definedName name="vorjahr" localSheetId="13">#REF!</definedName>
    <definedName name="vorjah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4" i="15" l="1"/>
  <c r="BP6" i="15"/>
  <c r="BP7" i="15"/>
  <c r="BP8" i="15"/>
  <c r="BP10" i="15"/>
  <c r="BP11" i="15"/>
  <c r="BP13" i="15"/>
  <c r="BP15" i="15"/>
  <c r="BP17" i="15"/>
  <c r="BP18" i="15"/>
  <c r="BP3" i="15"/>
  <c r="BO7" i="15"/>
  <c r="BP16" i="16" l="1"/>
  <c r="BP15" i="16"/>
  <c r="BP14" i="16"/>
  <c r="BP12" i="16"/>
  <c r="BP11" i="16"/>
  <c r="BP10" i="16"/>
  <c r="BP8" i="16"/>
  <c r="BP7" i="16"/>
  <c r="BP6" i="16"/>
  <c r="BP4" i="16"/>
  <c r="BP3" i="16"/>
  <c r="BP31" i="31" l="1"/>
  <c r="BM31" i="31"/>
  <c r="BS18" i="30"/>
  <c r="BP26" i="31"/>
  <c r="BP18" i="31"/>
  <c r="BP12" i="31"/>
  <c r="BP9" i="31"/>
  <c r="BM9" i="31"/>
  <c r="BL3" i="31"/>
  <c r="BS39" i="30"/>
  <c r="BS26" i="30"/>
  <c r="BS33" i="30" s="1"/>
  <c r="BS35" i="30" s="1"/>
  <c r="BS61" i="30"/>
  <c r="BS57" i="30"/>
  <c r="BQ37" i="22"/>
  <c r="BQ36" i="22"/>
  <c r="BQ34" i="22"/>
  <c r="BQ32" i="22"/>
  <c r="BQ23" i="22"/>
  <c r="BQ15" i="22"/>
  <c r="BA48" i="29"/>
  <c r="BA40" i="29"/>
  <c r="BA33" i="29"/>
  <c r="BA15" i="29"/>
  <c r="BA9" i="29"/>
  <c r="BA6" i="29"/>
  <c r="BA25" i="29"/>
  <c r="BK74" i="20"/>
  <c r="BH74" i="20"/>
  <c r="AZ74" i="20"/>
  <c r="AE74" i="20"/>
  <c r="AD74" i="20"/>
  <c r="AC74" i="20"/>
  <c r="W74" i="20"/>
  <c r="V74" i="20"/>
  <c r="Z74" i="20" s="1"/>
  <c r="T74" i="20"/>
  <c r="S74" i="20"/>
  <c r="M74" i="20"/>
  <c r="L74" i="20"/>
  <c r="K74" i="20"/>
  <c r="J74" i="20"/>
  <c r="D74" i="20"/>
  <c r="BK73" i="20"/>
  <c r="BH73" i="20"/>
  <c r="AZ73" i="20"/>
  <c r="Z73" i="20"/>
  <c r="BH72" i="20"/>
  <c r="BK72" i="20" s="1"/>
  <c r="AZ72" i="20"/>
  <c r="Z72" i="20"/>
  <c r="BK71" i="20"/>
  <c r="BH71" i="20"/>
  <c r="AZ71" i="20"/>
  <c r="Z71" i="20"/>
  <c r="BH70" i="20"/>
  <c r="BK70" i="20" s="1"/>
  <c r="AZ70" i="20"/>
  <c r="AO70" i="20"/>
  <c r="AO74" i="20" s="1"/>
  <c r="AJ70" i="20"/>
  <c r="AJ74" i="20" s="1"/>
  <c r="AI70" i="20"/>
  <c r="AI74" i="20" s="1"/>
  <c r="AH70" i="20"/>
  <c r="AH74" i="20" s="1"/>
  <c r="AE70" i="20"/>
  <c r="AD70" i="20"/>
  <c r="AC70" i="20"/>
  <c r="AB70" i="20"/>
  <c r="AB74" i="20" s="1"/>
  <c r="Z70" i="20"/>
  <c r="Y70" i="20"/>
  <c r="Y74" i="20" s="1"/>
  <c r="X70" i="20"/>
  <c r="X74" i="20" s="1"/>
  <c r="W70" i="20"/>
  <c r="V70" i="20"/>
  <c r="T70" i="20"/>
  <c r="S70" i="20"/>
  <c r="R70" i="20"/>
  <c r="R74" i="20" s="1"/>
  <c r="Q70" i="20"/>
  <c r="Q74" i="20" s="1"/>
  <c r="P70" i="20"/>
  <c r="P74" i="20" s="1"/>
  <c r="N70" i="20"/>
  <c r="N74" i="20" s="1"/>
  <c r="M70" i="20"/>
  <c r="L70" i="20"/>
  <c r="K70" i="20"/>
  <c r="J70" i="20"/>
  <c r="H70" i="20"/>
  <c r="H74" i="20" s="1"/>
  <c r="G70" i="20"/>
  <c r="G74" i="20" s="1"/>
  <c r="F70" i="20"/>
  <c r="F74" i="20" s="1"/>
  <c r="E70" i="20"/>
  <c r="E74" i="20" s="1"/>
  <c r="D70" i="20"/>
  <c r="BJ69" i="20"/>
  <c r="BK69" i="20" s="1"/>
  <c r="BI69" i="20"/>
  <c r="BH69" i="20"/>
  <c r="BG69" i="20"/>
  <c r="AZ69" i="20"/>
  <c r="AM69" i="20"/>
  <c r="Z69" i="20"/>
  <c r="BJ68" i="20"/>
  <c r="BK68" i="20" s="1"/>
  <c r="BA68" i="20"/>
  <c r="AZ68" i="20"/>
  <c r="AF68" i="20"/>
  <c r="AF70" i="20" s="1"/>
  <c r="AF74" i="20" s="1"/>
  <c r="Z68" i="20"/>
  <c r="BK67" i="20"/>
  <c r="BH67" i="20"/>
  <c r="AZ67" i="20"/>
  <c r="Z67" i="20"/>
  <c r="BH66" i="20"/>
  <c r="BK66" i="20" s="1"/>
  <c r="AZ66" i="20"/>
  <c r="Z66" i="20"/>
  <c r="BK65" i="20"/>
  <c r="BH65" i="20"/>
  <c r="AZ65" i="20"/>
  <c r="Z65" i="20"/>
  <c r="BH64" i="20"/>
  <c r="BK64" i="20" s="1"/>
  <c r="AZ64" i="20"/>
  <c r="Z64" i="20"/>
  <c r="BK63" i="20"/>
  <c r="BH63" i="20"/>
  <c r="AZ63" i="20"/>
  <c r="Z63" i="20"/>
  <c r="BH62" i="20"/>
  <c r="BK62" i="20" s="1"/>
  <c r="AZ62" i="20"/>
  <c r="Z62" i="20"/>
  <c r="AI51" i="20"/>
  <c r="AH51" i="20"/>
  <c r="AE51" i="20"/>
  <c r="AC51" i="20"/>
  <c r="AB51" i="20"/>
  <c r="Z51" i="20"/>
  <c r="Y51" i="20"/>
  <c r="V51" i="20"/>
  <c r="G51" i="20"/>
  <c r="AJ50" i="20"/>
  <c r="AI50" i="20"/>
  <c r="AH50" i="20"/>
  <c r="AE50" i="20"/>
  <c r="AB50" i="20"/>
  <c r="Y50" i="20"/>
  <c r="V50" i="20"/>
  <c r="T50" i="20"/>
  <c r="Q50" i="20"/>
  <c r="P50" i="20"/>
  <c r="N50" i="20"/>
  <c r="J50" i="20"/>
  <c r="H50" i="20"/>
  <c r="F50" i="20"/>
  <c r="E50" i="20"/>
  <c r="D50" i="20"/>
  <c r="AH49" i="20"/>
  <c r="AE49" i="20"/>
  <c r="AB49" i="20"/>
  <c r="V49" i="20"/>
  <c r="T49" i="20"/>
  <c r="S49" i="20"/>
  <c r="R49" i="20"/>
  <c r="Q49" i="20"/>
  <c r="P49" i="20"/>
  <c r="N49" i="20"/>
  <c r="J49" i="20"/>
  <c r="H49" i="20"/>
  <c r="D49" i="20"/>
  <c r="AH48" i="20"/>
  <c r="AE48" i="20"/>
  <c r="AD48" i="20"/>
  <c r="AB48" i="20"/>
  <c r="W48" i="20"/>
  <c r="V48" i="20"/>
  <c r="K48" i="20"/>
  <c r="J48" i="20"/>
  <c r="D48" i="20"/>
  <c r="AZ47" i="20"/>
  <c r="AJ47" i="20"/>
  <c r="AJ51" i="20" s="1"/>
  <c r="AD47" i="20"/>
  <c r="AD51" i="20" s="1"/>
  <c r="AC47" i="20"/>
  <c r="X47" i="20"/>
  <c r="X51" i="20" s="1"/>
  <c r="W47" i="20"/>
  <c r="W51" i="20" s="1"/>
  <c r="R47" i="20"/>
  <c r="Q47" i="20"/>
  <c r="S47" i="20" s="1"/>
  <c r="M47" i="20"/>
  <c r="G47" i="20"/>
  <c r="BK46" i="20"/>
  <c r="AZ46" i="20"/>
  <c r="AJ46" i="20"/>
  <c r="AD46" i="20"/>
  <c r="AD50" i="20" s="1"/>
  <c r="AC46" i="20"/>
  <c r="AC50" i="20" s="1"/>
  <c r="X46" i="20"/>
  <c r="X50" i="20" s="1"/>
  <c r="W46" i="20"/>
  <c r="W50" i="20" s="1"/>
  <c r="S46" i="20"/>
  <c r="S50" i="20" s="1"/>
  <c r="R46" i="20"/>
  <c r="R50" i="20" s="1"/>
  <c r="Q46" i="20"/>
  <c r="L46" i="20"/>
  <c r="L50" i="20" s="1"/>
  <c r="K46" i="20"/>
  <c r="K50" i="20" s="1"/>
  <c r="G46" i="20"/>
  <c r="G50" i="20" s="1"/>
  <c r="F46" i="20"/>
  <c r="E46" i="20"/>
  <c r="BK45" i="20"/>
  <c r="AZ45" i="20"/>
  <c r="AJ45" i="20"/>
  <c r="AD45" i="20"/>
  <c r="AD49" i="20" s="1"/>
  <c r="AC45" i="20"/>
  <c r="AC49" i="20" s="1"/>
  <c r="X45" i="20"/>
  <c r="X49" i="20" s="1"/>
  <c r="W45" i="20"/>
  <c r="W49" i="20" s="1"/>
  <c r="S45" i="20"/>
  <c r="R45" i="20"/>
  <c r="Q45" i="20"/>
  <c r="L45" i="20"/>
  <c r="L49" i="20" s="1"/>
  <c r="K45" i="20"/>
  <c r="M45" i="20" s="1"/>
  <c r="M49" i="20" s="1"/>
  <c r="G45" i="20"/>
  <c r="G49" i="20" s="1"/>
  <c r="F45" i="20"/>
  <c r="F49" i="20" s="1"/>
  <c r="E45" i="20"/>
  <c r="E49" i="20" s="1"/>
  <c r="BK44" i="20"/>
  <c r="AZ44" i="20"/>
  <c r="AD44" i="20"/>
  <c r="AC44" i="20"/>
  <c r="AC48" i="20" s="1"/>
  <c r="Z44" i="20"/>
  <c r="X44" i="20"/>
  <c r="X48" i="20" s="1"/>
  <c r="W44" i="20"/>
  <c r="V44" i="20"/>
  <c r="T44" i="20"/>
  <c r="S44" i="20" s="1"/>
  <c r="R44" i="20"/>
  <c r="Q44" i="20"/>
  <c r="P44" i="20"/>
  <c r="N44" i="20"/>
  <c r="M44" i="20" s="1"/>
  <c r="L44" i="20"/>
  <c r="K44" i="20"/>
  <c r="J44" i="20"/>
  <c r="H44" i="20"/>
  <c r="H48" i="20" s="1"/>
  <c r="F44" i="20"/>
  <c r="F48" i="20" s="1"/>
  <c r="E44" i="20"/>
  <c r="E48" i="20" s="1"/>
  <c r="D44" i="20"/>
  <c r="G44" i="20" s="1"/>
  <c r="G48" i="20" s="1"/>
  <c r="BK43" i="20"/>
  <c r="AZ42" i="20"/>
  <c r="AJ42" i="20"/>
  <c r="AI42" i="20"/>
  <c r="AD42" i="20"/>
  <c r="AC42" i="20"/>
  <c r="Y42" i="20"/>
  <c r="X42" i="20"/>
  <c r="W42" i="20"/>
  <c r="R42" i="20"/>
  <c r="Q42" i="20"/>
  <c r="S42" i="20" s="1"/>
  <c r="L42" i="20"/>
  <c r="K42" i="20"/>
  <c r="M42" i="20" s="1"/>
  <c r="G42" i="20"/>
  <c r="F42" i="20"/>
  <c r="E42" i="20"/>
  <c r="BP40" i="20"/>
  <c r="BO40" i="20"/>
  <c r="AZ40" i="20"/>
  <c r="BO39" i="20"/>
  <c r="BK39" i="20"/>
  <c r="AZ39" i="20"/>
  <c r="Z39" i="20"/>
  <c r="Y39" i="20"/>
  <c r="W39" i="20"/>
  <c r="M39" i="20"/>
  <c r="BP38" i="20"/>
  <c r="BO38" i="20"/>
  <c r="AZ38" i="20"/>
  <c r="AC38" i="20"/>
  <c r="AB38" i="20"/>
  <c r="BL37" i="20"/>
  <c r="BO37" i="20" s="1"/>
  <c r="BK37" i="20"/>
  <c r="AZ37" i="20"/>
  <c r="AQ37" i="20"/>
  <c r="AJ37" i="20"/>
  <c r="AJ32" i="20" s="1"/>
  <c r="AI37" i="20"/>
  <c r="AD37" i="20"/>
  <c r="Z37" i="20"/>
  <c r="Q37" i="20"/>
  <c r="P37" i="20"/>
  <c r="P32" i="20" s="1"/>
  <c r="BO36" i="20"/>
  <c r="BK36" i="20"/>
  <c r="AZ36" i="20"/>
  <c r="AQ36" i="20"/>
  <c r="Y36" i="20"/>
  <c r="W36" i="20"/>
  <c r="Z36" i="20" s="1"/>
  <c r="R36" i="20"/>
  <c r="BO35" i="20"/>
  <c r="BK35" i="20"/>
  <c r="AQ35" i="20"/>
  <c r="BO34" i="20"/>
  <c r="BK34" i="20"/>
  <c r="BF34" i="20"/>
  <c r="BE34" i="20"/>
  <c r="BD34" i="20"/>
  <c r="BC34" i="20"/>
  <c r="BA34" i="20"/>
  <c r="AZ34" i="20"/>
  <c r="AY34" i="20"/>
  <c r="AW34" i="20"/>
  <c r="AV34" i="20"/>
  <c r="AT34" i="20"/>
  <c r="AS34" i="20"/>
  <c r="AR34" i="20"/>
  <c r="AQ34" i="20"/>
  <c r="AP34" i="20"/>
  <c r="AO34" i="20"/>
  <c r="AN34" i="20"/>
  <c r="AM34" i="20"/>
  <c r="AL34" i="20"/>
  <c r="AK34" i="20"/>
  <c r="Z34" i="20"/>
  <c r="Y34" i="20"/>
  <c r="Y32" i="20" s="1"/>
  <c r="BP33" i="20"/>
  <c r="BO33" i="20" s="1"/>
  <c r="BN33" i="20"/>
  <c r="BM33" i="20"/>
  <c r="BJ33" i="20"/>
  <c r="BK33" i="20" s="1"/>
  <c r="AZ33" i="20"/>
  <c r="AQ33" i="20"/>
  <c r="AI33" i="20"/>
  <c r="AI32" i="20" s="1"/>
  <c r="Z33" i="20"/>
  <c r="T33" i="20"/>
  <c r="BP32" i="20"/>
  <c r="BN32" i="20"/>
  <c r="BO32" i="20" s="1"/>
  <c r="BK32" i="20"/>
  <c r="AZ32" i="20"/>
  <c r="AP32" i="20"/>
  <c r="AO32" i="20"/>
  <c r="AH32" i="20"/>
  <c r="AF32" i="20"/>
  <c r="AE32" i="20"/>
  <c r="X32" i="20"/>
  <c r="V32" i="20"/>
  <c r="T32" i="20"/>
  <c r="S32" i="20"/>
  <c r="N32" i="20"/>
  <c r="M32" i="20"/>
  <c r="L32" i="20"/>
  <c r="K32" i="20"/>
  <c r="J32" i="20"/>
  <c r="H32" i="20"/>
  <c r="G32" i="20"/>
  <c r="F32" i="20"/>
  <c r="E32" i="20"/>
  <c r="D32" i="20"/>
  <c r="BO31" i="20"/>
  <c r="BI31" i="20"/>
  <c r="BK31" i="20" s="1"/>
  <c r="AZ31" i="20"/>
  <c r="AJ31" i="20"/>
  <c r="AJ28" i="20" s="1"/>
  <c r="AI31" i="20"/>
  <c r="AD31" i="20"/>
  <c r="Z31" i="20"/>
  <c r="W31" i="20"/>
  <c r="V31" i="20"/>
  <c r="S31" i="20"/>
  <c r="R31" i="20"/>
  <c r="M31" i="20"/>
  <c r="M28" i="20" s="1"/>
  <c r="BR30" i="20"/>
  <c r="BP30" i="20"/>
  <c r="BO30" i="20" s="1"/>
  <c r="BN30" i="20"/>
  <c r="BM30" i="20"/>
  <c r="BJ30" i="20"/>
  <c r="BK30" i="20" s="1"/>
  <c r="BC30" i="20"/>
  <c r="AZ30" i="20"/>
  <c r="AM30" i="20"/>
  <c r="AK30" i="20"/>
  <c r="AJ30" i="20"/>
  <c r="AI30" i="20"/>
  <c r="AH30" i="20"/>
  <c r="AF30" i="20"/>
  <c r="AD30" i="20"/>
  <c r="Z30" i="20"/>
  <c r="Y30" i="20"/>
  <c r="W30" i="20"/>
  <c r="V30" i="20"/>
  <c r="BO29" i="20"/>
  <c r="BK29" i="20"/>
  <c r="AZ29" i="20"/>
  <c r="Z29" i="20"/>
  <c r="Y29" i="20"/>
  <c r="Y28" i="20" s="1"/>
  <c r="W29" i="20"/>
  <c r="W28" i="20" s="1"/>
  <c r="V29" i="20"/>
  <c r="BP28" i="20"/>
  <c r="BO28" i="20" s="1"/>
  <c r="BN28" i="20"/>
  <c r="BM28" i="20"/>
  <c r="BK28" i="20"/>
  <c r="BC28" i="20"/>
  <c r="AZ28" i="20"/>
  <c r="AY28" i="20"/>
  <c r="AX28" i="20"/>
  <c r="AO28" i="20"/>
  <c r="AM28" i="20"/>
  <c r="AI28" i="20"/>
  <c r="AH28" i="20"/>
  <c r="AF28" i="20"/>
  <c r="AE28" i="20"/>
  <c r="X28" i="20"/>
  <c r="V28" i="20"/>
  <c r="T28" i="20"/>
  <c r="S28" i="20"/>
  <c r="R28" i="20"/>
  <c r="Q28" i="20"/>
  <c r="P28" i="20"/>
  <c r="N28" i="20"/>
  <c r="L28" i="20"/>
  <c r="K28" i="20"/>
  <c r="J28" i="20"/>
  <c r="H28" i="20"/>
  <c r="G28" i="20"/>
  <c r="F28" i="20"/>
  <c r="E28" i="20"/>
  <c r="D28" i="20"/>
  <c r="BO27" i="20"/>
  <c r="BK27" i="20"/>
  <c r="AZ27" i="20"/>
  <c r="Z27" i="20"/>
  <c r="Y27" i="20"/>
  <c r="M27" i="20"/>
  <c r="BO26" i="20"/>
  <c r="BK26" i="20"/>
  <c r="AZ26" i="20"/>
  <c r="BO25" i="20"/>
  <c r="AZ25" i="20"/>
  <c r="Z25" i="20"/>
  <c r="M25" i="20"/>
  <c r="BO24" i="20"/>
  <c r="BO23" i="20"/>
  <c r="AZ23" i="20"/>
  <c r="Z23" i="20"/>
  <c r="M23" i="20"/>
  <c r="M21" i="20" s="1"/>
  <c r="BP22" i="20"/>
  <c r="BO22" i="20" s="1"/>
  <c r="AZ22" i="20"/>
  <c r="AP22" i="20"/>
  <c r="Y22" i="20"/>
  <c r="Z22" i="20" s="1"/>
  <c r="M22" i="20"/>
  <c r="BO21" i="20"/>
  <c r="BK21" i="20"/>
  <c r="BH21" i="20"/>
  <c r="AZ21" i="20"/>
  <c r="AO21" i="20"/>
  <c r="AJ21" i="20"/>
  <c r="AI21" i="20"/>
  <c r="AH21" i="20"/>
  <c r="AF21" i="20"/>
  <c r="AE21" i="20"/>
  <c r="AD21" i="20"/>
  <c r="AC21" i="20"/>
  <c r="X21" i="20"/>
  <c r="W21" i="20"/>
  <c r="V21" i="20"/>
  <c r="T21" i="20"/>
  <c r="S21" i="20"/>
  <c r="R21" i="20"/>
  <c r="Q21" i="20"/>
  <c r="P21" i="20"/>
  <c r="N21" i="20"/>
  <c r="L21" i="20"/>
  <c r="K21" i="20"/>
  <c r="J21" i="20"/>
  <c r="H21" i="20"/>
  <c r="G21" i="20"/>
  <c r="F21" i="20"/>
  <c r="E21" i="20"/>
  <c r="D21" i="20"/>
  <c r="BO20" i="20"/>
  <c r="BK20" i="20"/>
  <c r="AZ20" i="20"/>
  <c r="AO20" i="20"/>
  <c r="AQ20" i="20" s="1"/>
  <c r="AJ20" i="20"/>
  <c r="AI20" i="20"/>
  <c r="AD20" i="20"/>
  <c r="AC20" i="20"/>
  <c r="Z20" i="20"/>
  <c r="Y20" i="20"/>
  <c r="X20" i="20"/>
  <c r="W20" i="20"/>
  <c r="F20" i="20"/>
  <c r="E20" i="20"/>
  <c r="D20" i="20"/>
  <c r="BO19" i="20"/>
  <c r="BK19" i="20"/>
  <c r="AZ19" i="20"/>
  <c r="AO19" i="20"/>
  <c r="AQ19" i="20" s="1"/>
  <c r="AJ19" i="20"/>
  <c r="AI19" i="20"/>
  <c r="AD19" i="20"/>
  <c r="AC19" i="20"/>
  <c r="Z19" i="20"/>
  <c r="Y19" i="20"/>
  <c r="X19" i="20"/>
  <c r="W19" i="20"/>
  <c r="F19" i="20"/>
  <c r="E19" i="20"/>
  <c r="D19" i="20"/>
  <c r="BO18" i="20"/>
  <c r="AZ18" i="20"/>
  <c r="AH18" i="20"/>
  <c r="AH38" i="20" s="1"/>
  <c r="AH40" i="20" s="1"/>
  <c r="AF18" i="20"/>
  <c r="AF38" i="20" s="1"/>
  <c r="AF40" i="20" s="1"/>
  <c r="AD18" i="20"/>
  <c r="AD38" i="20" s="1"/>
  <c r="AD40" i="20" s="1"/>
  <c r="AC18" i="20"/>
  <c r="AB18" i="20"/>
  <c r="X18" i="20"/>
  <c r="X38" i="20" s="1"/>
  <c r="X40" i="20" s="1"/>
  <c r="V18" i="20"/>
  <c r="V38" i="20" s="1"/>
  <c r="T18" i="20"/>
  <c r="T38" i="20" s="1"/>
  <c r="T40" i="20" s="1"/>
  <c r="N18" i="20"/>
  <c r="N38" i="20" s="1"/>
  <c r="N40" i="20" s="1"/>
  <c r="L18" i="20"/>
  <c r="L38" i="20" s="1"/>
  <c r="L40" i="20" s="1"/>
  <c r="K18" i="20"/>
  <c r="K38" i="20" s="1"/>
  <c r="K40" i="20" s="1"/>
  <c r="E18" i="20"/>
  <c r="E38" i="20" s="1"/>
  <c r="E40" i="20" s="1"/>
  <c r="D18" i="20"/>
  <c r="D38" i="20" s="1"/>
  <c r="D40" i="20" s="1"/>
  <c r="BQ17" i="20"/>
  <c r="BO17" i="20"/>
  <c r="BK17" i="20"/>
  <c r="AZ17" i="20"/>
  <c r="W17" i="20"/>
  <c r="BO16" i="20"/>
  <c r="BK16" i="20"/>
  <c r="AZ16" i="20"/>
  <c r="Y16" i="20"/>
  <c r="Z16" i="20" s="1"/>
  <c r="W16" i="20"/>
  <c r="BO15" i="20"/>
  <c r="BH15" i="20"/>
  <c r="BH18" i="20" s="1"/>
  <c r="AZ15" i="20"/>
  <c r="AO15" i="20"/>
  <c r="AO18" i="20" s="1"/>
  <c r="AO38" i="20" s="1"/>
  <c r="AO40" i="20" s="1"/>
  <c r="AH15" i="20"/>
  <c r="AF15" i="20"/>
  <c r="AE15" i="20"/>
  <c r="AE18" i="20" s="1"/>
  <c r="AE38" i="20" s="1"/>
  <c r="AE40" i="20" s="1"/>
  <c r="X15" i="20"/>
  <c r="V15" i="20"/>
  <c r="T15" i="20"/>
  <c r="S15" i="20"/>
  <c r="S18" i="20" s="1"/>
  <c r="S38" i="20" s="1"/>
  <c r="S40" i="20" s="1"/>
  <c r="R15" i="20"/>
  <c r="R18" i="20" s="1"/>
  <c r="R38" i="20" s="1"/>
  <c r="R40" i="20" s="1"/>
  <c r="Q15" i="20"/>
  <c r="Q18" i="20" s="1"/>
  <c r="Q38" i="20" s="1"/>
  <c r="Q40" i="20" s="1"/>
  <c r="P15" i="20"/>
  <c r="P18" i="20" s="1"/>
  <c r="N15" i="20"/>
  <c r="L15" i="20"/>
  <c r="K15" i="20"/>
  <c r="J15" i="20"/>
  <c r="J18" i="20" s="1"/>
  <c r="J38" i="20" s="1"/>
  <c r="J40" i="20" s="1"/>
  <c r="H15" i="20"/>
  <c r="H18" i="20" s="1"/>
  <c r="H38" i="20" s="1"/>
  <c r="H40" i="20" s="1"/>
  <c r="G15" i="20"/>
  <c r="G18" i="20" s="1"/>
  <c r="G38" i="20" s="1"/>
  <c r="G40" i="20" s="1"/>
  <c r="F15" i="20"/>
  <c r="F18" i="20" s="1"/>
  <c r="F38" i="20" s="1"/>
  <c r="F40" i="20" s="1"/>
  <c r="E15" i="20"/>
  <c r="D15" i="20"/>
  <c r="BO14" i="20"/>
  <c r="BK14" i="20"/>
  <c r="AZ14" i="20"/>
  <c r="Y14" i="20"/>
  <c r="Y15" i="20" s="1"/>
  <c r="W14" i="20"/>
  <c r="BO13" i="20"/>
  <c r="BK13" i="20"/>
  <c r="AZ13" i="20"/>
  <c r="AJ13" i="20"/>
  <c r="AI13" i="20"/>
  <c r="AD13" i="20"/>
  <c r="Z13" i="20"/>
  <c r="Z50" i="20" s="1"/>
  <c r="Y13" i="20"/>
  <c r="X13" i="20"/>
  <c r="W13" i="20"/>
  <c r="BO12" i="20"/>
  <c r="BK12" i="20"/>
  <c r="AZ12" i="20"/>
  <c r="AJ12" i="20"/>
  <c r="AJ49" i="20" s="1"/>
  <c r="AI12" i="20"/>
  <c r="AI49" i="20" s="1"/>
  <c r="AD12" i="20"/>
  <c r="X12" i="20"/>
  <c r="Y12" i="20" s="1"/>
  <c r="W12" i="20"/>
  <c r="BO11" i="20"/>
  <c r="BK11" i="20"/>
  <c r="AZ11" i="20"/>
  <c r="AJ11" i="20"/>
  <c r="AJ15" i="20" s="1"/>
  <c r="AJ18" i="20" s="1"/>
  <c r="AI11" i="20"/>
  <c r="AI15" i="20" s="1"/>
  <c r="AI18" i="20" s="1"/>
  <c r="AI38" i="20" s="1"/>
  <c r="AI40" i="20" s="1"/>
  <c r="Y11" i="20"/>
  <c r="Z11" i="20" s="1"/>
  <c r="W11" i="20"/>
  <c r="W15" i="20" s="1"/>
  <c r="M11" i="20"/>
  <c r="M15" i="20" s="1"/>
  <c r="M18" i="20" s="1"/>
  <c r="T8" i="20"/>
  <c r="N8" i="20"/>
  <c r="H8" i="20"/>
  <c r="BB51" i="21"/>
  <c r="BB46" i="21"/>
  <c r="BB39" i="21"/>
  <c r="BB25" i="21"/>
  <c r="BM10" i="15"/>
  <c r="BN7" i="15"/>
  <c r="BP36" i="22"/>
  <c r="BP32" i="22"/>
  <c r="BP23" i="22"/>
  <c r="BP12" i="22"/>
  <c r="BP15" i="22" s="1"/>
  <c r="BP34" i="22" s="1"/>
  <c r="BP37" i="22" s="1"/>
  <c r="BA51" i="21"/>
  <c r="BA46" i="21"/>
  <c r="BA39" i="21"/>
  <c r="BA25" i="21"/>
  <c r="I3" i="15"/>
  <c r="P3" i="15"/>
  <c r="W3" i="15"/>
  <c r="AD3" i="15"/>
  <c r="AJ3" i="15"/>
  <c r="AP3" i="15"/>
  <c r="AV3" i="15"/>
  <c r="BB3" i="15"/>
  <c r="BH3" i="15"/>
  <c r="BM3" i="15"/>
  <c r="I4" i="15"/>
  <c r="P4" i="15"/>
  <c r="W4" i="15"/>
  <c r="AD4" i="15"/>
  <c r="AJ4" i="15"/>
  <c r="AP4" i="15"/>
  <c r="AV4" i="15"/>
  <c r="BA4" i="15"/>
  <c r="BM4" i="15"/>
  <c r="BM5" i="15"/>
  <c r="I6" i="15"/>
  <c r="P6" i="15"/>
  <c r="W6" i="15"/>
  <c r="AD6" i="15"/>
  <c r="AJ6" i="15"/>
  <c r="AP6" i="15"/>
  <c r="AV6" i="15"/>
  <c r="BA6" i="15"/>
  <c r="BH6" i="15" s="1"/>
  <c r="BM6" i="15"/>
  <c r="H7" i="15"/>
  <c r="I7" i="15" s="1"/>
  <c r="L7" i="15"/>
  <c r="M7" i="15"/>
  <c r="N7" i="15"/>
  <c r="O7" i="15"/>
  <c r="W7" i="15" s="1"/>
  <c r="R7" i="15"/>
  <c r="S7" i="15"/>
  <c r="T7" i="15"/>
  <c r="U7" i="15"/>
  <c r="Y7" i="15"/>
  <c r="Z7" i="15"/>
  <c r="AA7" i="15"/>
  <c r="AB7" i="15"/>
  <c r="AC7" i="15"/>
  <c r="AJ7" i="15" s="1"/>
  <c r="AE7" i="15"/>
  <c r="AF7" i="15"/>
  <c r="AG7" i="15"/>
  <c r="AH7" i="15"/>
  <c r="AP7" i="15"/>
  <c r="AU7" i="15"/>
  <c r="AV7" i="15" s="1"/>
  <c r="AW7" i="15"/>
  <c r="AZ7" i="15"/>
  <c r="BC7" i="15"/>
  <c r="BE7" i="15"/>
  <c r="BH7" i="15"/>
  <c r="BI7" i="15"/>
  <c r="BJ7" i="15"/>
  <c r="BM7" i="15" s="1"/>
  <c r="BL7" i="15"/>
  <c r="I8" i="15"/>
  <c r="P8" i="15"/>
  <c r="W8" i="15"/>
  <c r="AD8" i="15"/>
  <c r="AJ8" i="15"/>
  <c r="AP8" i="15"/>
  <c r="AV8" i="15"/>
  <c r="BA8" i="15"/>
  <c r="BB8" i="15" s="1"/>
  <c r="BM8" i="15"/>
  <c r="BM9" i="15"/>
  <c r="I10" i="15"/>
  <c r="O10" i="15"/>
  <c r="P10" i="15" s="1"/>
  <c r="AD10" i="15"/>
  <c r="AJ10" i="15"/>
  <c r="AP10" i="15"/>
  <c r="AV10" i="15"/>
  <c r="BB10" i="15"/>
  <c r="BH10" i="15"/>
  <c r="I11" i="15"/>
  <c r="P11" i="15"/>
  <c r="W11" i="15"/>
  <c r="AD11" i="15"/>
  <c r="AJ11" i="15"/>
  <c r="AP11" i="15"/>
  <c r="AV11" i="15"/>
  <c r="BA11" i="15"/>
  <c r="BH11" i="15" s="1"/>
  <c r="BM11" i="15"/>
  <c r="I13" i="15"/>
  <c r="O13" i="15"/>
  <c r="W13" i="15" s="1"/>
  <c r="P13" i="15"/>
  <c r="AD13" i="15"/>
  <c r="AJ13" i="15"/>
  <c r="AP13" i="15"/>
  <c r="AV13" i="15"/>
  <c r="BB13" i="15"/>
  <c r="BH13" i="15"/>
  <c r="BM13" i="15"/>
  <c r="I14" i="15"/>
  <c r="O14" i="15"/>
  <c r="AD14" i="15"/>
  <c r="AJ14" i="15"/>
  <c r="AP14" i="15"/>
  <c r="AV14" i="15"/>
  <c r="BB14" i="15"/>
  <c r="BH14" i="15"/>
  <c r="BM14" i="15"/>
  <c r="I15" i="15"/>
  <c r="O15" i="15"/>
  <c r="P15" i="15" s="1"/>
  <c r="AD15" i="15"/>
  <c r="AJ15" i="15"/>
  <c r="AP15" i="15"/>
  <c r="AV15" i="15"/>
  <c r="BB15" i="15"/>
  <c r="BH15" i="15"/>
  <c r="BM15" i="15"/>
  <c r="I17" i="15"/>
  <c r="O17" i="15"/>
  <c r="AD17" i="15"/>
  <c r="AJ17" i="15"/>
  <c r="AP17" i="15"/>
  <c r="AV17" i="15"/>
  <c r="BB17" i="15"/>
  <c r="BH17" i="15"/>
  <c r="BM17" i="15"/>
  <c r="I18" i="15"/>
  <c r="O18" i="15"/>
  <c r="W18" i="15" s="1"/>
  <c r="AD18" i="15"/>
  <c r="AJ18" i="15"/>
  <c r="AP18" i="15"/>
  <c r="AV18" i="15"/>
  <c r="BB18" i="15"/>
  <c r="BH18" i="15"/>
  <c r="BM18" i="15"/>
  <c r="I3" i="16"/>
  <c r="P3" i="16"/>
  <c r="W3" i="16"/>
  <c r="AD3" i="16"/>
  <c r="AJ3" i="16"/>
  <c r="AN3" i="16"/>
  <c r="AP3" i="16"/>
  <c r="AV3" i="16"/>
  <c r="BB3" i="16"/>
  <c r="BH3" i="16"/>
  <c r="BM3" i="16"/>
  <c r="I4" i="16"/>
  <c r="P4" i="16"/>
  <c r="W4" i="16"/>
  <c r="AD4" i="16"/>
  <c r="AJ4" i="16"/>
  <c r="AN4" i="16"/>
  <c r="AP4" i="16"/>
  <c r="AV4" i="16"/>
  <c r="BB4" i="16"/>
  <c r="BH4" i="16"/>
  <c r="BM4" i="16"/>
  <c r="I5" i="16"/>
  <c r="P5" i="16"/>
  <c r="W5" i="16"/>
  <c r="AD5" i="16"/>
  <c r="I6" i="16"/>
  <c r="P6" i="16"/>
  <c r="W6" i="16"/>
  <c r="AD6" i="16"/>
  <c r="AJ6" i="16"/>
  <c r="AN6" i="16"/>
  <c r="AP6" i="16"/>
  <c r="AV6" i="16"/>
  <c r="BB6" i="16"/>
  <c r="BH6" i="16"/>
  <c r="BM6" i="16"/>
  <c r="I7" i="16"/>
  <c r="P7" i="16"/>
  <c r="W7" i="16"/>
  <c r="AD7" i="16"/>
  <c r="AJ7" i="16"/>
  <c r="AN7" i="16"/>
  <c r="AP7" i="16"/>
  <c r="AV7" i="16"/>
  <c r="BB7" i="16"/>
  <c r="BH7" i="16"/>
  <c r="BM7" i="16"/>
  <c r="I8" i="16"/>
  <c r="P8" i="16"/>
  <c r="W8" i="16"/>
  <c r="AD8" i="16"/>
  <c r="AJ8" i="16"/>
  <c r="AN8" i="16"/>
  <c r="AP8" i="16"/>
  <c r="AV8" i="16"/>
  <c r="BB8" i="16"/>
  <c r="BH8" i="16"/>
  <c r="BM8" i="16"/>
  <c r="I10" i="16"/>
  <c r="P10" i="16"/>
  <c r="W10" i="16"/>
  <c r="AD10" i="16"/>
  <c r="AJ10" i="16"/>
  <c r="AN10" i="16"/>
  <c r="AP10" i="16"/>
  <c r="AV10" i="16"/>
  <c r="BB10" i="16"/>
  <c r="BH10" i="16"/>
  <c r="BM10" i="16"/>
  <c r="I11" i="16"/>
  <c r="P11" i="16"/>
  <c r="W11" i="16"/>
  <c r="AD11" i="16"/>
  <c r="AJ11" i="16"/>
  <c r="AN11" i="16"/>
  <c r="AP11" i="16"/>
  <c r="AV11" i="16"/>
  <c r="BB11" i="16"/>
  <c r="BH11" i="16"/>
  <c r="BM11" i="16"/>
  <c r="I12" i="16"/>
  <c r="P12" i="16"/>
  <c r="W12" i="16"/>
  <c r="AD12" i="16"/>
  <c r="AJ12" i="16"/>
  <c r="AN12" i="16"/>
  <c r="AP12" i="16"/>
  <c r="AV12" i="16"/>
  <c r="BB12" i="16"/>
  <c r="BH12" i="16"/>
  <c r="BM12" i="16"/>
  <c r="I14" i="16"/>
  <c r="P14" i="16"/>
  <c r="W14" i="16"/>
  <c r="AD14" i="16"/>
  <c r="AJ14" i="16"/>
  <c r="AN14" i="16"/>
  <c r="AP14" i="16"/>
  <c r="AV14" i="16"/>
  <c r="BB14" i="16"/>
  <c r="BH14" i="16"/>
  <c r="BM14" i="16"/>
  <c r="I15" i="16"/>
  <c r="P15" i="16"/>
  <c r="W15" i="16"/>
  <c r="AD15" i="16"/>
  <c r="AJ15" i="16"/>
  <c r="AN15" i="16"/>
  <c r="AP15" i="16"/>
  <c r="AV15" i="16"/>
  <c r="BB15" i="16"/>
  <c r="BH15" i="16"/>
  <c r="BM15" i="16"/>
  <c r="I16" i="16"/>
  <c r="P16" i="16"/>
  <c r="W16" i="16"/>
  <c r="AD16" i="16"/>
  <c r="AJ16" i="16"/>
  <c r="AN16" i="16"/>
  <c r="AP16" i="16"/>
  <c r="AV16" i="16"/>
  <c r="BB16" i="16"/>
  <c r="BH16" i="16"/>
  <c r="BM16" i="16"/>
  <c r="C6" i="29"/>
  <c r="C18" i="29"/>
  <c r="C26" i="29" s="1"/>
  <c r="E6" i="29"/>
  <c r="E18" i="29" s="1"/>
  <c r="E26" i="29" s="1"/>
  <c r="G6" i="29"/>
  <c r="G18" i="29" s="1"/>
  <c r="G26" i="29" s="1"/>
  <c r="H6" i="29"/>
  <c r="H18" i="29" s="1"/>
  <c r="H26" i="29" s="1"/>
  <c r="I6" i="29"/>
  <c r="J6" i="29"/>
  <c r="L6" i="29"/>
  <c r="L18" i="29" s="1"/>
  <c r="L26" i="29" s="1"/>
  <c r="M6" i="29"/>
  <c r="M18" i="29" s="1"/>
  <c r="N6" i="29"/>
  <c r="N18" i="29"/>
  <c r="N26" i="29" s="1"/>
  <c r="O6" i="29"/>
  <c r="Q6" i="29"/>
  <c r="Q18" i="29" s="1"/>
  <c r="Q26" i="29" s="1"/>
  <c r="R6" i="29"/>
  <c r="R18" i="29" s="1"/>
  <c r="R26" i="29" s="1"/>
  <c r="S6" i="29"/>
  <c r="T6" i="29"/>
  <c r="V6" i="29"/>
  <c r="V18" i="29" s="1"/>
  <c r="V26" i="29" s="1"/>
  <c r="W6" i="29"/>
  <c r="W18" i="29" s="1"/>
  <c r="X6" i="29"/>
  <c r="X18" i="29" s="1"/>
  <c r="X26" i="29" s="1"/>
  <c r="AP6" i="29"/>
  <c r="AQ6" i="29"/>
  <c r="AR6" i="29"/>
  <c r="AR18" i="29" s="1"/>
  <c r="AT6" i="29"/>
  <c r="AY6" i="29"/>
  <c r="AY18" i="29"/>
  <c r="AY26" i="29" s="1"/>
  <c r="C9" i="29"/>
  <c r="E9" i="29"/>
  <c r="G9" i="29"/>
  <c r="H9" i="29"/>
  <c r="I9" i="29"/>
  <c r="J9" i="29"/>
  <c r="J18" i="29"/>
  <c r="J26" i="29" s="1"/>
  <c r="L9" i="29"/>
  <c r="M9" i="29"/>
  <c r="N9" i="29"/>
  <c r="O9" i="29"/>
  <c r="Q9" i="29"/>
  <c r="R9" i="29"/>
  <c r="S9" i="29"/>
  <c r="T9" i="29"/>
  <c r="T18" i="29"/>
  <c r="T26" i="29" s="1"/>
  <c r="V9" i="29"/>
  <c r="W9" i="29"/>
  <c r="X9" i="29"/>
  <c r="AP9" i="29"/>
  <c r="AQ9" i="29"/>
  <c r="AR9" i="29"/>
  <c r="AT9" i="29"/>
  <c r="AY9" i="29"/>
  <c r="C15" i="29"/>
  <c r="E15" i="29"/>
  <c r="G15" i="29"/>
  <c r="H15" i="29"/>
  <c r="I15" i="29"/>
  <c r="J15" i="29"/>
  <c r="L15" i="29"/>
  <c r="M15" i="29"/>
  <c r="N15" i="29"/>
  <c r="O15" i="29"/>
  <c r="Q15" i="29"/>
  <c r="R15" i="29"/>
  <c r="S15" i="29"/>
  <c r="T15" i="29"/>
  <c r="V15" i="29"/>
  <c r="W15" i="29"/>
  <c r="X15" i="29"/>
  <c r="AC15" i="29"/>
  <c r="AJ15" i="29"/>
  <c r="AK15" i="29"/>
  <c r="AK18" i="29" s="1"/>
  <c r="AK26" i="29" s="1"/>
  <c r="AL15" i="29"/>
  <c r="AL18" i="29" s="1"/>
  <c r="AM15" i="29"/>
  <c r="AP15" i="29"/>
  <c r="AQ15" i="29"/>
  <c r="AQ18" i="29" s="1"/>
  <c r="AR15" i="29"/>
  <c r="AT15" i="29"/>
  <c r="AU15" i="29"/>
  <c r="AU18" i="29" s="1"/>
  <c r="AW15" i="29"/>
  <c r="AW18" i="29"/>
  <c r="AW26" i="29" s="1"/>
  <c r="AY15" i="29"/>
  <c r="O18" i="29"/>
  <c r="O26" i="29" s="1"/>
  <c r="AC18" i="29"/>
  <c r="AD18" i="29"/>
  <c r="AG18" i="29"/>
  <c r="AG26" i="29"/>
  <c r="AH18" i="29"/>
  <c r="AH26" i="29" s="1"/>
  <c r="AI18" i="29"/>
  <c r="AI26" i="29" s="1"/>
  <c r="AJ18" i="29"/>
  <c r="AM18" i="29"/>
  <c r="AM26" i="29"/>
  <c r="AO18" i="29"/>
  <c r="AS18" i="29"/>
  <c r="AV18" i="29"/>
  <c r="S23" i="29"/>
  <c r="W23" i="29"/>
  <c r="W25" i="29"/>
  <c r="X23" i="29"/>
  <c r="X25" i="29" s="1"/>
  <c r="AB23" i="29"/>
  <c r="AD23" i="29"/>
  <c r="AD25" i="29" s="1"/>
  <c r="AF23" i="29"/>
  <c r="AG23" i="29"/>
  <c r="AG25" i="29"/>
  <c r="AH23" i="29"/>
  <c r="AU23" i="29"/>
  <c r="AU25" i="29" s="1"/>
  <c r="C25" i="29"/>
  <c r="E25" i="29"/>
  <c r="G25" i="29"/>
  <c r="H25" i="29"/>
  <c r="I25" i="29"/>
  <c r="J25" i="29"/>
  <c r="L25" i="29"/>
  <c r="M25" i="29"/>
  <c r="N25" i="29"/>
  <c r="O25" i="29"/>
  <c r="Q25" i="29"/>
  <c r="R25" i="29"/>
  <c r="S25" i="29"/>
  <c r="T25" i="29"/>
  <c r="V25" i="29"/>
  <c r="AC25" i="29"/>
  <c r="AC26" i="29" s="1"/>
  <c r="AH25" i="29"/>
  <c r="AI25" i="29"/>
  <c r="AJ25" i="29"/>
  <c r="AJ26" i="29" s="1"/>
  <c r="AK25" i="29"/>
  <c r="AL25" i="29"/>
  <c r="AM25" i="29"/>
  <c r="AO25" i="29"/>
  <c r="AO26" i="29" s="1"/>
  <c r="AP25" i="29"/>
  <c r="AQ25" i="29"/>
  <c r="AR25" i="29"/>
  <c r="AS25" i="29"/>
  <c r="AS26" i="29" s="1"/>
  <c r="AT25" i="29"/>
  <c r="AV25" i="29"/>
  <c r="AW25" i="29"/>
  <c r="AY25" i="29"/>
  <c r="AR26" i="29"/>
  <c r="C33" i="29"/>
  <c r="E33" i="29"/>
  <c r="G33" i="29"/>
  <c r="H33" i="29"/>
  <c r="I33" i="29"/>
  <c r="J33" i="29"/>
  <c r="L33" i="29"/>
  <c r="M33" i="29"/>
  <c r="N33" i="29"/>
  <c r="N50" i="29" s="1"/>
  <c r="O33" i="29"/>
  <c r="Q33" i="29"/>
  <c r="R33" i="29"/>
  <c r="S33" i="29"/>
  <c r="T33" i="29"/>
  <c r="V33" i="29"/>
  <c r="W33" i="29"/>
  <c r="X33" i="29"/>
  <c r="AC33" i="29"/>
  <c r="AC50" i="29" s="1"/>
  <c r="AD33" i="29"/>
  <c r="AF33" i="29"/>
  <c r="AG33" i="29"/>
  <c r="AH33" i="29"/>
  <c r="AI33" i="29"/>
  <c r="AJ33" i="29"/>
  <c r="AK33" i="29"/>
  <c r="AL33" i="29"/>
  <c r="AL50" i="29"/>
  <c r="AM33" i="29"/>
  <c r="AO33" i="29"/>
  <c r="AP33" i="29"/>
  <c r="AQ33" i="29"/>
  <c r="AR33" i="29"/>
  <c r="AS33" i="29"/>
  <c r="AS50" i="29" s="1"/>
  <c r="AT33" i="29"/>
  <c r="AU33" i="29"/>
  <c r="AV33" i="29"/>
  <c r="AW33" i="29"/>
  <c r="AY33" i="29"/>
  <c r="AU34" i="29"/>
  <c r="AU40" i="29"/>
  <c r="W39" i="29"/>
  <c r="C40" i="29"/>
  <c r="E40" i="29"/>
  <c r="G40" i="29"/>
  <c r="H40" i="29"/>
  <c r="I40" i="29"/>
  <c r="J40" i="29"/>
  <c r="L40" i="29"/>
  <c r="L49" i="29" s="1"/>
  <c r="M40" i="29"/>
  <c r="O40" i="29"/>
  <c r="Q40" i="29"/>
  <c r="R40" i="29"/>
  <c r="S40" i="29"/>
  <c r="S49" i="29" s="1"/>
  <c r="S50" i="29" s="1"/>
  <c r="T40" i="29"/>
  <c r="V40" i="29"/>
  <c r="W40" i="29"/>
  <c r="X40" i="29"/>
  <c r="AC40" i="29"/>
  <c r="AD40" i="29"/>
  <c r="AD49" i="29" s="1"/>
  <c r="AD50" i="29" s="1"/>
  <c r="AF40" i="29"/>
  <c r="AF49" i="29"/>
  <c r="AF50" i="29"/>
  <c r="AG40" i="29"/>
  <c r="AH40" i="29"/>
  <c r="AJ40" i="29"/>
  <c r="AK40" i="29"/>
  <c r="AL40" i="29"/>
  <c r="AL49" i="29" s="1"/>
  <c r="AM40" i="29"/>
  <c r="AO40" i="29"/>
  <c r="AP40" i="29"/>
  <c r="AQ40" i="29"/>
  <c r="AQ49" i="29" s="1"/>
  <c r="AR40" i="29"/>
  <c r="AS40" i="29"/>
  <c r="AS49" i="29" s="1"/>
  <c r="AT40" i="29"/>
  <c r="AT49" i="29" s="1"/>
  <c r="AT50" i="29" s="1"/>
  <c r="AV40" i="29"/>
  <c r="AY40" i="29"/>
  <c r="AY49" i="29" s="1"/>
  <c r="AY50" i="29" s="1"/>
  <c r="AU41" i="29"/>
  <c r="S47" i="29"/>
  <c r="W47" i="29"/>
  <c r="W48" i="29" s="1"/>
  <c r="W49" i="29" s="1"/>
  <c r="W50" i="29" s="1"/>
  <c r="X47" i="29"/>
  <c r="X48" i="29"/>
  <c r="X49" i="29"/>
  <c r="X50" i="29" s="1"/>
  <c r="AB47" i="29"/>
  <c r="AD47" i="29"/>
  <c r="AG47" i="29"/>
  <c r="AH47" i="29"/>
  <c r="AU47" i="29"/>
  <c r="AU48" i="29" s="1"/>
  <c r="C48" i="29"/>
  <c r="C49" i="29" s="1"/>
  <c r="C50" i="29" s="1"/>
  <c r="E48" i="29"/>
  <c r="E49" i="29" s="1"/>
  <c r="E50" i="29" s="1"/>
  <c r="G48" i="29"/>
  <c r="H48" i="29"/>
  <c r="H49" i="29" s="1"/>
  <c r="H50" i="29" s="1"/>
  <c r="I48" i="29"/>
  <c r="J48" i="29"/>
  <c r="J49" i="29" s="1"/>
  <c r="J50" i="29" s="1"/>
  <c r="L48" i="29"/>
  <c r="L50" i="29"/>
  <c r="M48" i="29"/>
  <c r="M49" i="29" s="1"/>
  <c r="M50" i="29" s="1"/>
  <c r="N48" i="29"/>
  <c r="O48" i="29"/>
  <c r="O49" i="29" s="1"/>
  <c r="Q48" i="29"/>
  <c r="Q49" i="29"/>
  <c r="Q50" i="29" s="1"/>
  <c r="R48" i="29"/>
  <c r="R49" i="29" s="1"/>
  <c r="R50" i="29" s="1"/>
  <c r="S48" i="29"/>
  <c r="T48" i="29"/>
  <c r="V48" i="29"/>
  <c r="V49" i="29" s="1"/>
  <c r="V50" i="29" s="1"/>
  <c r="AC48" i="29"/>
  <c r="AD48" i="29"/>
  <c r="AG48" i="29"/>
  <c r="AH48" i="29"/>
  <c r="AH49" i="29"/>
  <c r="AH50" i="29" s="1"/>
  <c r="AI48" i="29"/>
  <c r="AI49" i="29" s="1"/>
  <c r="AJ48" i="29"/>
  <c r="AK48" i="29"/>
  <c r="AK49" i="29"/>
  <c r="AL48" i="29"/>
  <c r="AM48" i="29"/>
  <c r="AM49" i="29" s="1"/>
  <c r="AO48" i="29"/>
  <c r="AO49" i="29"/>
  <c r="AO50" i="29" s="1"/>
  <c r="AP48" i="29"/>
  <c r="AQ48" i="29"/>
  <c r="AR48" i="29"/>
  <c r="AR49" i="29" s="1"/>
  <c r="AT48" i="29"/>
  <c r="AV48" i="29"/>
  <c r="AW48" i="29"/>
  <c r="AY48" i="29"/>
  <c r="I49" i="29"/>
  <c r="I50" i="29" s="1"/>
  <c r="N49" i="29"/>
  <c r="O50" i="29"/>
  <c r="T49" i="29"/>
  <c r="T50" i="29" s="1"/>
  <c r="AC49" i="29"/>
  <c r="AJ49" i="29"/>
  <c r="AJ50" i="29" s="1"/>
  <c r="AP49" i="29"/>
  <c r="AW49" i="29"/>
  <c r="AM50" i="29"/>
  <c r="AW50" i="29"/>
  <c r="AE3" i="31"/>
  <c r="BG3" i="31"/>
  <c r="BN3" i="31"/>
  <c r="AE4" i="31"/>
  <c r="BG4" i="31"/>
  <c r="BL4" i="31"/>
  <c r="BN4" i="31"/>
  <c r="AE5" i="31"/>
  <c r="AE9" i="31" s="1"/>
  <c r="BG5" i="31"/>
  <c r="BL5" i="31"/>
  <c r="BN5" i="31"/>
  <c r="W6" i="31"/>
  <c r="AE6" i="31"/>
  <c r="AE12" i="31"/>
  <c r="AE28" i="31" s="1"/>
  <c r="BG6" i="31"/>
  <c r="BL6" i="31"/>
  <c r="BN6" i="31"/>
  <c r="AE7" i="31"/>
  <c r="BG7" i="31"/>
  <c r="BL7" i="31"/>
  <c r="BN7" i="31"/>
  <c r="U8" i="31"/>
  <c r="U9" i="31" s="1"/>
  <c r="U12" i="31" s="1"/>
  <c r="W8" i="31"/>
  <c r="W9" i="31" s="1"/>
  <c r="W12" i="31" s="1"/>
  <c r="W28" i="31" s="1"/>
  <c r="W31" i="31" s="1"/>
  <c r="AA8" i="31"/>
  <c r="AA9" i="31"/>
  <c r="AA12" i="31" s="1"/>
  <c r="AA28" i="31" s="1"/>
  <c r="AA31" i="31" s="1"/>
  <c r="AE8" i="31"/>
  <c r="BG8" i="31"/>
  <c r="BL8" i="31"/>
  <c r="BN8" i="31"/>
  <c r="Q9" i="31"/>
  <c r="Q12" i="31" s="1"/>
  <c r="R9" i="31"/>
  <c r="R12" i="31"/>
  <c r="R28" i="31" s="1"/>
  <c r="S9" i="31"/>
  <c r="T9" i="31"/>
  <c r="X9" i="31"/>
  <c r="X12" i="31"/>
  <c r="X28" i="31" s="1"/>
  <c r="X31" i="31"/>
  <c r="Y9" i="31"/>
  <c r="AC9" i="31"/>
  <c r="AC12" i="31" s="1"/>
  <c r="AK9" i="31"/>
  <c r="AK12" i="31" s="1"/>
  <c r="AK28" i="31" s="1"/>
  <c r="AK31" i="31" s="1"/>
  <c r="AM9" i="31"/>
  <c r="AO9" i="31"/>
  <c r="AO12" i="31" s="1"/>
  <c r="AP9" i="31"/>
  <c r="AP12" i="31" s="1"/>
  <c r="AQ9" i="31"/>
  <c r="AR9" i="31"/>
  <c r="AS9" i="31"/>
  <c r="AS12" i="31" s="1"/>
  <c r="AS28" i="31" s="1"/>
  <c r="AT9" i="31"/>
  <c r="AT12" i="31" s="1"/>
  <c r="AY9" i="31"/>
  <c r="AZ9" i="31"/>
  <c r="BA9" i="31"/>
  <c r="BD9" i="31"/>
  <c r="BD12" i="31"/>
  <c r="BE9" i="31"/>
  <c r="BF9" i="31"/>
  <c r="BF12" i="31" s="1"/>
  <c r="BF28" i="31" s="1"/>
  <c r="BH9" i="31"/>
  <c r="BH12" i="31"/>
  <c r="BI9" i="31"/>
  <c r="BL9" i="31"/>
  <c r="AE10" i="31"/>
  <c r="BG10" i="31"/>
  <c r="BL10" i="31"/>
  <c r="BN10" i="31"/>
  <c r="AE11" i="31"/>
  <c r="BG11" i="31"/>
  <c r="BL11" i="31"/>
  <c r="BN11" i="31"/>
  <c r="S12" i="31"/>
  <c r="T12" i="31"/>
  <c r="Y12" i="31"/>
  <c r="Z12" i="31"/>
  <c r="Z28" i="31" s="1"/>
  <c r="Z31" i="31" s="1"/>
  <c r="AD12" i="31"/>
  <c r="AL12" i="31"/>
  <c r="AM12" i="31"/>
  <c r="AQ12" i="31"/>
  <c r="AR12" i="31"/>
  <c r="AU12" i="31"/>
  <c r="AV12" i="31"/>
  <c r="AX12" i="31"/>
  <c r="AZ12" i="31"/>
  <c r="BA12" i="31"/>
  <c r="BB12" i="31"/>
  <c r="BC12" i="31"/>
  <c r="BE12" i="31"/>
  <c r="BE28" i="31" s="1"/>
  <c r="BI12" i="31"/>
  <c r="BI28" i="31" s="1"/>
  <c r="BI31" i="31" s="1"/>
  <c r="BJ12" i="31"/>
  <c r="BG13" i="31"/>
  <c r="BL13" i="31"/>
  <c r="BN13" i="31"/>
  <c r="BG14" i="31"/>
  <c r="BL14" i="31"/>
  <c r="BN14" i="31"/>
  <c r="BG15" i="31"/>
  <c r="BL15" i="31"/>
  <c r="BN15" i="31"/>
  <c r="BG16" i="31"/>
  <c r="BL16" i="31"/>
  <c r="BN16" i="31"/>
  <c r="U17" i="31"/>
  <c r="AI17" i="31"/>
  <c r="BG17" i="31"/>
  <c r="BL17" i="31"/>
  <c r="BN17" i="31"/>
  <c r="C18" i="31"/>
  <c r="E18" i="31"/>
  <c r="F18" i="31"/>
  <c r="F28" i="31" s="1"/>
  <c r="F31" i="31"/>
  <c r="G18" i="31"/>
  <c r="G28" i="31" s="1"/>
  <c r="G31" i="31" s="1"/>
  <c r="H18" i="31"/>
  <c r="I18" i="31"/>
  <c r="K18" i="31"/>
  <c r="L18" i="31"/>
  <c r="L28" i="31" s="1"/>
  <c r="L31" i="31" s="1"/>
  <c r="M18" i="31"/>
  <c r="N18" i="31"/>
  <c r="O18" i="31"/>
  <c r="Q18" i="31"/>
  <c r="R18" i="31"/>
  <c r="S18" i="31"/>
  <c r="T18" i="31"/>
  <c r="U18" i="31"/>
  <c r="W18" i="31"/>
  <c r="X18" i="31"/>
  <c r="Y18" i="31"/>
  <c r="Y28" i="31" s="1"/>
  <c r="Y31" i="31" s="1"/>
  <c r="AA18" i="31"/>
  <c r="AC18" i="31"/>
  <c r="AD18" i="31"/>
  <c r="AD28" i="31" s="1"/>
  <c r="AD31" i="31" s="1"/>
  <c r="AE30" i="31" s="1"/>
  <c r="AK18" i="31"/>
  <c r="AL18" i="31"/>
  <c r="AM18" i="31"/>
  <c r="AO18" i="31"/>
  <c r="AP18" i="31"/>
  <c r="AQ18" i="31"/>
  <c r="AR18" i="31"/>
  <c r="AR28" i="31" s="1"/>
  <c r="AS18" i="31"/>
  <c r="AT18" i="31"/>
  <c r="AU18" i="31"/>
  <c r="AV18" i="31"/>
  <c r="AX18" i="31"/>
  <c r="AZ18" i="31"/>
  <c r="BA18" i="31"/>
  <c r="BD18" i="31"/>
  <c r="BE18" i="31"/>
  <c r="BF18" i="31"/>
  <c r="BH18" i="31"/>
  <c r="BI18" i="31"/>
  <c r="BJ18" i="31"/>
  <c r="BM18" i="31"/>
  <c r="BN19" i="31"/>
  <c r="Y20" i="31"/>
  <c r="BG20" i="31"/>
  <c r="BL20" i="31"/>
  <c r="BN20" i="31"/>
  <c r="BG21" i="31"/>
  <c r="BL21" i="31"/>
  <c r="BN21" i="31"/>
  <c r="Y22" i="31"/>
  <c r="Z22" i="31"/>
  <c r="BG22" i="31"/>
  <c r="BL22" i="31"/>
  <c r="BN22" i="31"/>
  <c r="AL23" i="31"/>
  <c r="AL26" i="31" s="1"/>
  <c r="BG23" i="31"/>
  <c r="BL23" i="31"/>
  <c r="BN23" i="31"/>
  <c r="BG24" i="31"/>
  <c r="BL24" i="31"/>
  <c r="BN24" i="31"/>
  <c r="Z25" i="31"/>
  <c r="AA25" i="31" s="1"/>
  <c r="BG25" i="31"/>
  <c r="BL25" i="31"/>
  <c r="BN25" i="31"/>
  <c r="C26" i="31"/>
  <c r="C28" i="31" s="1"/>
  <c r="D26" i="31"/>
  <c r="E26" i="31"/>
  <c r="E28" i="31"/>
  <c r="E31" i="31" s="1"/>
  <c r="F26" i="31"/>
  <c r="G26" i="31"/>
  <c r="H26" i="31"/>
  <c r="I26" i="31"/>
  <c r="I28" i="31" s="1"/>
  <c r="I31" i="31" s="1"/>
  <c r="K26" i="31"/>
  <c r="L26" i="31"/>
  <c r="M26" i="31"/>
  <c r="M28" i="31"/>
  <c r="M31" i="31" s="1"/>
  <c r="N26" i="31"/>
  <c r="N28" i="31" s="1"/>
  <c r="N31" i="31" s="1"/>
  <c r="O26" i="31"/>
  <c r="Q26" i="31"/>
  <c r="R26" i="31"/>
  <c r="S26" i="31"/>
  <c r="T26" i="31"/>
  <c r="U26" i="31"/>
  <c r="W26" i="31"/>
  <c r="X26" i="31"/>
  <c r="AC26" i="31"/>
  <c r="AD26" i="31"/>
  <c r="AK26" i="31"/>
  <c r="AM26" i="31"/>
  <c r="AO26" i="31"/>
  <c r="AP26" i="31"/>
  <c r="AQ26" i="31"/>
  <c r="AR26" i="31"/>
  <c r="AS26" i="31"/>
  <c r="AT26" i="31"/>
  <c r="AU26" i="31"/>
  <c r="AV26" i="31"/>
  <c r="AX26" i="31"/>
  <c r="AZ26" i="31"/>
  <c r="BA26" i="31"/>
  <c r="BB26" i="31"/>
  <c r="BB28" i="31" s="1"/>
  <c r="BD26" i="31"/>
  <c r="BE26" i="31"/>
  <c r="BF26" i="31"/>
  <c r="BH26" i="31"/>
  <c r="BG26" i="31" s="1"/>
  <c r="BI26" i="31"/>
  <c r="BJ26" i="31"/>
  <c r="BM26" i="31"/>
  <c r="BL26" i="31" s="1"/>
  <c r="BN27" i="31"/>
  <c r="H28" i="31"/>
  <c r="R31" i="31"/>
  <c r="BC28" i="31"/>
  <c r="AE29" i="31"/>
  <c r="AF29" i="31" s="1"/>
  <c r="BG29" i="31"/>
  <c r="BL29" i="31"/>
  <c r="BN29" i="31"/>
  <c r="BN30" i="31"/>
  <c r="C31" i="31"/>
  <c r="H31" i="31"/>
  <c r="P31" i="31"/>
  <c r="AM31" i="31"/>
  <c r="G7" i="30"/>
  <c r="M7" i="30"/>
  <c r="S7" i="30"/>
  <c r="D10" i="30"/>
  <c r="D14" i="30"/>
  <c r="D17" i="30"/>
  <c r="D33" i="30" s="1"/>
  <c r="D35" i="30" s="1"/>
  <c r="F10" i="30"/>
  <c r="Y10" i="30"/>
  <c r="AI10" i="30"/>
  <c r="BA10" i="30"/>
  <c r="BL10" i="30"/>
  <c r="AI11" i="30"/>
  <c r="BL11" i="30"/>
  <c r="AI12" i="30"/>
  <c r="BL12" i="30"/>
  <c r="Y13" i="30"/>
  <c r="AI13" i="30"/>
  <c r="BA13" i="30"/>
  <c r="BL13" i="30"/>
  <c r="C14" i="30"/>
  <c r="C17" i="30" s="1"/>
  <c r="C33" i="30" s="1"/>
  <c r="C35" i="30" s="1"/>
  <c r="E14" i="30"/>
  <c r="E17" i="30" s="1"/>
  <c r="E33" i="30" s="1"/>
  <c r="F14" i="30"/>
  <c r="F17" i="30" s="1"/>
  <c r="F33" i="30" s="1"/>
  <c r="F35" i="30" s="1"/>
  <c r="G14" i="30"/>
  <c r="G17" i="30" s="1"/>
  <c r="G33" i="30" s="1"/>
  <c r="G35" i="30" s="1"/>
  <c r="I14" i="30"/>
  <c r="J14" i="30"/>
  <c r="J17" i="30"/>
  <c r="K14" i="30"/>
  <c r="L14" i="30"/>
  <c r="M14" i="30"/>
  <c r="M17" i="30" s="1"/>
  <c r="O14" i="30"/>
  <c r="O17" i="30" s="1"/>
  <c r="O33" i="30" s="1"/>
  <c r="O35" i="30" s="1"/>
  <c r="P14" i="30"/>
  <c r="P17" i="30" s="1"/>
  <c r="P33" i="30" s="1"/>
  <c r="P35" i="30" s="1"/>
  <c r="Q14" i="30"/>
  <c r="Q17" i="30"/>
  <c r="Q33" i="30" s="1"/>
  <c r="Q35" i="30" s="1"/>
  <c r="R14" i="30"/>
  <c r="S14" i="30"/>
  <c r="S17" i="30"/>
  <c r="S33" i="30" s="1"/>
  <c r="S35" i="30"/>
  <c r="U14" i="30"/>
  <c r="V14" i="30"/>
  <c r="W14" i="30"/>
  <c r="AA14" i="30"/>
  <c r="AA17" i="30" s="1"/>
  <c r="AA33" i="30" s="1"/>
  <c r="AA35" i="30" s="1"/>
  <c r="AB14" i="30"/>
  <c r="AB17" i="30"/>
  <c r="AB33" i="30" s="1"/>
  <c r="AB35" i="30" s="1"/>
  <c r="AC14" i="30"/>
  <c r="AD14" i="30"/>
  <c r="AD17" i="30"/>
  <c r="AE14" i="30"/>
  <c r="AE17" i="30" s="1"/>
  <c r="AE33" i="30" s="1"/>
  <c r="AE35" i="30" s="1"/>
  <c r="AG14" i="30"/>
  <c r="AH14" i="30"/>
  <c r="AH17" i="30" s="1"/>
  <c r="AJ14" i="30"/>
  <c r="AJ17" i="30" s="1"/>
  <c r="AO14" i="30"/>
  <c r="AO17" i="30" s="1"/>
  <c r="AO33" i="30" s="1"/>
  <c r="AO35" i="30" s="1"/>
  <c r="AQ14" i="30"/>
  <c r="AS14" i="30"/>
  <c r="AS17" i="30" s="1"/>
  <c r="AX14" i="30"/>
  <c r="AX17" i="30"/>
  <c r="AY14" i="30"/>
  <c r="AZ14" i="30"/>
  <c r="AZ17" i="30" s="1"/>
  <c r="BA14" i="30"/>
  <c r="BA17" i="30"/>
  <c r="BB14" i="30"/>
  <c r="BB17" i="30" s="1"/>
  <c r="BJ14" i="30"/>
  <c r="J15" i="30"/>
  <c r="K15" i="30" s="1"/>
  <c r="L15" i="30" s="1"/>
  <c r="P15" i="30"/>
  <c r="Q15" i="30" s="1"/>
  <c r="R15" i="30" s="1"/>
  <c r="R17" i="30" s="1"/>
  <c r="R33" i="30" s="1"/>
  <c r="R35" i="30" s="1"/>
  <c r="Y15" i="30"/>
  <c r="AI15" i="30"/>
  <c r="BA15" i="30"/>
  <c r="BL15" i="30"/>
  <c r="J16" i="30"/>
  <c r="K16" i="30" s="1"/>
  <c r="L16" i="30" s="1"/>
  <c r="P16" i="30"/>
  <c r="Q16" i="30" s="1"/>
  <c r="R16" i="30" s="1"/>
  <c r="Y16" i="30"/>
  <c r="AI16" i="30"/>
  <c r="BA16" i="30"/>
  <c r="BL16" i="30"/>
  <c r="I17" i="30"/>
  <c r="V17" i="30"/>
  <c r="W17" i="30"/>
  <c r="W33" i="30" s="1"/>
  <c r="W35" i="30" s="1"/>
  <c r="AC17" i="30"/>
  <c r="AG17" i="30"/>
  <c r="AQ17" i="30"/>
  <c r="AT17" i="30"/>
  <c r="AT39" i="30" s="1"/>
  <c r="AU17" i="30"/>
  <c r="AV17" i="30"/>
  <c r="AW17" i="30"/>
  <c r="AY17" i="30"/>
  <c r="AY39" i="30" s="1"/>
  <c r="BD17" i="30"/>
  <c r="BD39" i="30"/>
  <c r="BE17" i="30"/>
  <c r="BE39" i="30"/>
  <c r="BJ17" i="30"/>
  <c r="BJ33" i="30" s="1"/>
  <c r="BJ35" i="30" s="1"/>
  <c r="BJ39" i="30"/>
  <c r="BJ40" i="30"/>
  <c r="BK17" i="30"/>
  <c r="BK39" i="30" s="1"/>
  <c r="BK40" i="30" s="1"/>
  <c r="C18" i="30"/>
  <c r="D18" i="30"/>
  <c r="E18" i="30"/>
  <c r="F18" i="30"/>
  <c r="I18" i="30"/>
  <c r="J18" i="30"/>
  <c r="P18" i="30"/>
  <c r="U18" i="30"/>
  <c r="V18" i="30"/>
  <c r="W18" i="30"/>
  <c r="AB18" i="30"/>
  <c r="AC18" i="30"/>
  <c r="AC33" i="30" s="1"/>
  <c r="AC35" i="30" s="1"/>
  <c r="AD18" i="30"/>
  <c r="AE18" i="30"/>
  <c r="AG18" i="30"/>
  <c r="AO18" i="30"/>
  <c r="AP18" i="30"/>
  <c r="AQ18" i="30"/>
  <c r="AS18" i="30"/>
  <c r="AS33" i="30" s="1"/>
  <c r="AS35" i="30" s="1"/>
  <c r="AT18" i="30"/>
  <c r="AV18" i="30"/>
  <c r="AW18" i="30"/>
  <c r="AX18" i="30"/>
  <c r="AY18" i="30"/>
  <c r="AZ18" i="30"/>
  <c r="BA18" i="30"/>
  <c r="BD18" i="30"/>
  <c r="BE18" i="30"/>
  <c r="BF18" i="30"/>
  <c r="BF33" i="30" s="1"/>
  <c r="BF35" i="30" s="1"/>
  <c r="BG18" i="30"/>
  <c r="BG33" i="30" s="1"/>
  <c r="BG35" i="30" s="1"/>
  <c r="BH18" i="30"/>
  <c r="BI18" i="30"/>
  <c r="BI33" i="30" s="1"/>
  <c r="BJ18" i="30"/>
  <c r="BK18" i="30"/>
  <c r="BL18" i="30" s="1"/>
  <c r="BM18" i="30"/>
  <c r="BM33" i="30" s="1"/>
  <c r="BN18" i="30"/>
  <c r="BP18" i="30"/>
  <c r="BP33" i="30" s="1"/>
  <c r="BP35" i="30"/>
  <c r="BQ18" i="30"/>
  <c r="BQ33" i="30"/>
  <c r="BQ35" i="30" s="1"/>
  <c r="S19" i="30"/>
  <c r="Y19" i="30"/>
  <c r="AH19" i="30"/>
  <c r="AH18" i="30" s="1"/>
  <c r="AH33" i="30" s="1"/>
  <c r="AH35" i="30" s="1"/>
  <c r="AI19" i="30"/>
  <c r="AM19" i="30"/>
  <c r="AU19" i="30"/>
  <c r="AU18" i="30" s="1"/>
  <c r="BL19" i="30"/>
  <c r="S20" i="30"/>
  <c r="Y20" i="30"/>
  <c r="AI20" i="30"/>
  <c r="BL20" i="30"/>
  <c r="S21" i="30"/>
  <c r="Y21" i="30"/>
  <c r="Y22" i="30"/>
  <c r="BL22" i="30"/>
  <c r="S23" i="30"/>
  <c r="Y23" i="30"/>
  <c r="AH23" i="30"/>
  <c r="AI23" i="30"/>
  <c r="AJ23" i="30"/>
  <c r="AJ18" i="30" s="1"/>
  <c r="AU23" i="30"/>
  <c r="BL23" i="30"/>
  <c r="AH24" i="30"/>
  <c r="AI24" i="30"/>
  <c r="AJ24" i="30"/>
  <c r="AU24" i="30"/>
  <c r="BL24" i="30"/>
  <c r="S25" i="30"/>
  <c r="Y25" i="30"/>
  <c r="AA25" i="30"/>
  <c r="AA18" i="30" s="1"/>
  <c r="AH25" i="30"/>
  <c r="AI25" i="30"/>
  <c r="AM25" i="30"/>
  <c r="AU25" i="30"/>
  <c r="BB25" i="30"/>
  <c r="BB18" i="30"/>
  <c r="BB33" i="30" s="1"/>
  <c r="BB35" i="30" s="1"/>
  <c r="BL25" i="30"/>
  <c r="D26" i="30"/>
  <c r="F26" i="30"/>
  <c r="J26" i="30"/>
  <c r="M26" i="30" s="1"/>
  <c r="M33" i="30" s="1"/>
  <c r="M35" i="30" s="1"/>
  <c r="P26" i="30"/>
  <c r="U26" i="30"/>
  <c r="V26" i="30"/>
  <c r="Y26" i="30" s="1"/>
  <c r="W26" i="30"/>
  <c r="AA26" i="30"/>
  <c r="AB26" i="30"/>
  <c r="AC26" i="30"/>
  <c r="AD26" i="30"/>
  <c r="AE26" i="30"/>
  <c r="AG26" i="30"/>
  <c r="AX26" i="30"/>
  <c r="AY26" i="30"/>
  <c r="AZ26" i="30"/>
  <c r="BB26" i="30"/>
  <c r="BF26" i="30"/>
  <c r="BG26" i="30"/>
  <c r="BI26" i="30"/>
  <c r="BJ26" i="30"/>
  <c r="BK26" i="30"/>
  <c r="BM26" i="30"/>
  <c r="BN26" i="30"/>
  <c r="BN33" i="30" s="1"/>
  <c r="BN35" i="30" s="1"/>
  <c r="BP26" i="30"/>
  <c r="BQ26" i="30"/>
  <c r="S27" i="30"/>
  <c r="Y27" i="30"/>
  <c r="AH27" i="30"/>
  <c r="AH26" i="30" s="1"/>
  <c r="AP27" i="30"/>
  <c r="BB27" i="30"/>
  <c r="BL27" i="30"/>
  <c r="S28" i="30"/>
  <c r="Y28" i="30"/>
  <c r="AJ28" i="30"/>
  <c r="AJ26" i="30" s="1"/>
  <c r="AK28" i="30"/>
  <c r="AM28" i="30"/>
  <c r="AN28" i="30"/>
  <c r="AO28" i="30"/>
  <c r="AO26" i="30" s="1"/>
  <c r="AQ28" i="30"/>
  <c r="AS28" i="30"/>
  <c r="AS26" i="30" s="1"/>
  <c r="AT28" i="30"/>
  <c r="AT26" i="30" s="1"/>
  <c r="AU28" i="30"/>
  <c r="AU26" i="30" s="1"/>
  <c r="AV28" i="30"/>
  <c r="AV26" i="30"/>
  <c r="AW28" i="30"/>
  <c r="AW26" i="30" s="1"/>
  <c r="BA28" i="30"/>
  <c r="BA26" i="30" s="1"/>
  <c r="BD28" i="30"/>
  <c r="BD26" i="30"/>
  <c r="BE28" i="30"/>
  <c r="BE26" i="30" s="1"/>
  <c r="BF28" i="30"/>
  <c r="BG28" i="30"/>
  <c r="BH28" i="30"/>
  <c r="BL29" i="30"/>
  <c r="S30" i="30"/>
  <c r="Y30" i="30"/>
  <c r="AP30" i="30"/>
  <c r="BA30" i="30"/>
  <c r="BL30" i="30"/>
  <c r="S31" i="30"/>
  <c r="Y31" i="30"/>
  <c r="AH31" i="30"/>
  <c r="AJ31" i="30"/>
  <c r="AP31" i="30"/>
  <c r="BB31" i="30"/>
  <c r="BL31" i="30"/>
  <c r="S32" i="30"/>
  <c r="Y32" i="30"/>
  <c r="AH32" i="30"/>
  <c r="AI32" i="30"/>
  <c r="AI26" i="30" s="1"/>
  <c r="AJ32" i="30"/>
  <c r="AP32" i="30"/>
  <c r="BB32" i="30"/>
  <c r="BL32" i="30"/>
  <c r="E35" i="30"/>
  <c r="I33" i="30"/>
  <c r="AV33" i="30"/>
  <c r="AV35" i="30" s="1"/>
  <c r="AY33" i="30"/>
  <c r="AY35" i="30" s="1"/>
  <c r="Y34" i="30"/>
  <c r="BB34" i="30"/>
  <c r="BL34" i="30"/>
  <c r="I35" i="30"/>
  <c r="BD35" i="30"/>
  <c r="BM35" i="30"/>
  <c r="AI37" i="30"/>
  <c r="AJ37" i="30"/>
  <c r="BB37" i="30"/>
  <c r="BL38" i="30"/>
  <c r="AJ39" i="30"/>
  <c r="BC39" i="30"/>
  <c r="BF39" i="30"/>
  <c r="BG39" i="30"/>
  <c r="BH39" i="30"/>
  <c r="BI39" i="30"/>
  <c r="AJ40" i="30"/>
  <c r="BI40" i="30"/>
  <c r="Y45" i="30"/>
  <c r="BL45" i="30"/>
  <c r="BL57" i="30" s="1"/>
  <c r="BL61" i="30" s="1"/>
  <c r="Y46" i="30"/>
  <c r="BL46" i="30"/>
  <c r="Y47" i="30"/>
  <c r="BL47" i="30"/>
  <c r="Y48" i="30"/>
  <c r="BL48" i="30"/>
  <c r="Y49" i="30"/>
  <c r="BL49" i="30"/>
  <c r="Y50" i="30"/>
  <c r="BL50" i="30"/>
  <c r="Y51" i="30"/>
  <c r="BL51" i="30"/>
  <c r="Y52" i="30"/>
  <c r="BL52" i="30"/>
  <c r="Y53" i="30"/>
  <c r="BL53" i="30"/>
  <c r="Y54" i="30"/>
  <c r="BL54" i="30"/>
  <c r="Y55" i="30"/>
  <c r="BL55" i="30"/>
  <c r="S56" i="30"/>
  <c r="Y56" i="30"/>
  <c r="AQ56" i="30"/>
  <c r="AQ57" i="30" s="1"/>
  <c r="AU56" i="30"/>
  <c r="AU57" i="30" s="1"/>
  <c r="AU61" i="30" s="1"/>
  <c r="BK56" i="30"/>
  <c r="C57" i="30"/>
  <c r="C61" i="30" s="1"/>
  <c r="D57" i="30"/>
  <c r="E57" i="30"/>
  <c r="F57" i="30"/>
  <c r="G57" i="30"/>
  <c r="G61" i="30" s="1"/>
  <c r="F61" i="30" s="1"/>
  <c r="I57" i="30"/>
  <c r="I61" i="30" s="1"/>
  <c r="J57" i="30"/>
  <c r="J61" i="30" s="1"/>
  <c r="K57" i="30"/>
  <c r="L57" i="30"/>
  <c r="L61" i="30"/>
  <c r="M57" i="30"/>
  <c r="M61" i="30" s="1"/>
  <c r="O57" i="30"/>
  <c r="P57" i="30"/>
  <c r="P61" i="30" s="1"/>
  <c r="Q57" i="30"/>
  <c r="R57" i="30"/>
  <c r="S57" i="30"/>
  <c r="S61" i="30"/>
  <c r="U57" i="30"/>
  <c r="Y57" i="30" s="1"/>
  <c r="U61" i="30"/>
  <c r="V57" i="30"/>
  <c r="V61" i="30" s="1"/>
  <c r="W57" i="30"/>
  <c r="X57" i="30"/>
  <c r="X61" i="30"/>
  <c r="AA57" i="30"/>
  <c r="AA61" i="30" s="1"/>
  <c r="AB57" i="30"/>
  <c r="AB61" i="30" s="1"/>
  <c r="AC57" i="30"/>
  <c r="AC61" i="30" s="1"/>
  <c r="AD57" i="30"/>
  <c r="AD61" i="30" s="1"/>
  <c r="AE57" i="30"/>
  <c r="AG57" i="30"/>
  <c r="AH57" i="30"/>
  <c r="AH61" i="30" s="1"/>
  <c r="AI57" i="30"/>
  <c r="AI61" i="30" s="1"/>
  <c r="AJ57" i="30"/>
  <c r="AJ61" i="30" s="1"/>
  <c r="AO57" i="30"/>
  <c r="AP57" i="30"/>
  <c r="AP61" i="30"/>
  <c r="AQ61" i="30"/>
  <c r="AS57" i="30"/>
  <c r="AT57" i="30"/>
  <c r="AT61" i="30" s="1"/>
  <c r="AV57" i="30"/>
  <c r="AW57" i="30"/>
  <c r="AX57" i="30"/>
  <c r="AY57" i="30"/>
  <c r="AY61" i="30" s="1"/>
  <c r="AZ57" i="30"/>
  <c r="AZ61" i="30" s="1"/>
  <c r="BB57" i="30"/>
  <c r="BB61" i="30" s="1"/>
  <c r="BD57" i="30"/>
  <c r="BE57" i="30"/>
  <c r="BF57" i="30"/>
  <c r="BG57" i="30"/>
  <c r="BH57" i="30"/>
  <c r="BI57" i="30"/>
  <c r="BJ57" i="30"/>
  <c r="BJ61" i="30" s="1"/>
  <c r="BM57" i="30"/>
  <c r="BM61" i="30"/>
  <c r="BN57" i="30"/>
  <c r="BN61" i="30"/>
  <c r="BP57" i="30"/>
  <c r="BQ57" i="30"/>
  <c r="BQ61" i="30" s="1"/>
  <c r="Y58" i="30"/>
  <c r="BL58" i="30"/>
  <c r="Y59" i="30"/>
  <c r="BL59" i="30"/>
  <c r="Y60" i="30"/>
  <c r="BL60" i="30"/>
  <c r="D61" i="30"/>
  <c r="E61" i="30"/>
  <c r="K61" i="30"/>
  <c r="O61" i="30"/>
  <c r="Q61" i="30"/>
  <c r="W61" i="30"/>
  <c r="AE61" i="30"/>
  <c r="AG61" i="30"/>
  <c r="AO61" i="30"/>
  <c r="AS61" i="30"/>
  <c r="AX61" i="30"/>
  <c r="BO61" i="30"/>
  <c r="BP61" i="30"/>
  <c r="F6" i="21"/>
  <c r="H6" i="21"/>
  <c r="H19" i="21" s="1"/>
  <c r="H29" i="21" s="1"/>
  <c r="I6" i="21"/>
  <c r="J6" i="21"/>
  <c r="J19" i="21" s="1"/>
  <c r="J29" i="21" s="1"/>
  <c r="K6" i="21"/>
  <c r="K19" i="21" s="1"/>
  <c r="K29" i="21" s="1"/>
  <c r="M6" i="21"/>
  <c r="N6" i="21"/>
  <c r="P6" i="21"/>
  <c r="R6" i="21"/>
  <c r="R19" i="21"/>
  <c r="R29" i="21" s="1"/>
  <c r="S6" i="21"/>
  <c r="S19" i="21" s="1"/>
  <c r="S29" i="21" s="1"/>
  <c r="T6" i="21"/>
  <c r="U6" i="21"/>
  <c r="W6" i="21"/>
  <c r="Y6" i="21"/>
  <c r="AX6" i="21"/>
  <c r="F9" i="21"/>
  <c r="H9" i="21"/>
  <c r="I9" i="21"/>
  <c r="I19" i="21" s="1"/>
  <c r="I29" i="21" s="1"/>
  <c r="J9" i="21"/>
  <c r="K9" i="21"/>
  <c r="M9" i="21"/>
  <c r="N9" i="21"/>
  <c r="P9" i="21"/>
  <c r="P19" i="21" s="1"/>
  <c r="P29" i="21" s="1"/>
  <c r="R9" i="21"/>
  <c r="S9" i="21"/>
  <c r="T9" i="21"/>
  <c r="T19" i="21" s="1"/>
  <c r="T29" i="21"/>
  <c r="U9" i="21"/>
  <c r="W9" i="21"/>
  <c r="Y9" i="21"/>
  <c r="Y19" i="21" s="1"/>
  <c r="F12" i="21"/>
  <c r="H12" i="21"/>
  <c r="I12" i="21"/>
  <c r="J12" i="21"/>
  <c r="K12" i="21"/>
  <c r="M12" i="21"/>
  <c r="M19" i="21" s="1"/>
  <c r="M29" i="21" s="1"/>
  <c r="P12" i="21"/>
  <c r="R12" i="21"/>
  <c r="S12" i="21"/>
  <c r="T12" i="21"/>
  <c r="U12" i="21"/>
  <c r="W12" i="21"/>
  <c r="W19" i="21" s="1"/>
  <c r="Y12" i="21"/>
  <c r="F16" i="21"/>
  <c r="H16" i="21"/>
  <c r="I16" i="21"/>
  <c r="J16" i="21"/>
  <c r="K16" i="21"/>
  <c r="M16" i="21"/>
  <c r="N16" i="21"/>
  <c r="P16" i="21"/>
  <c r="R16" i="21"/>
  <c r="S16" i="21"/>
  <c r="T16" i="21"/>
  <c r="U16" i="21"/>
  <c r="U19" i="21"/>
  <c r="W16" i="21"/>
  <c r="X16" i="21"/>
  <c r="Y16" i="21"/>
  <c r="AY16" i="21"/>
  <c r="X19" i="21"/>
  <c r="AT19" i="21"/>
  <c r="AT29" i="21"/>
  <c r="AU19" i="21"/>
  <c r="AU29" i="21" s="1"/>
  <c r="R25" i="21"/>
  <c r="S25" i="21"/>
  <c r="S28" i="21" s="1"/>
  <c r="T25" i="21"/>
  <c r="T28" i="21" s="1"/>
  <c r="U25" i="21"/>
  <c r="U28" i="21" s="1"/>
  <c r="U29" i="21" s="1"/>
  <c r="W25" i="21"/>
  <c r="W28" i="21"/>
  <c r="X25" i="21"/>
  <c r="X28" i="21" s="1"/>
  <c r="X29" i="21" s="1"/>
  <c r="Y25" i="21"/>
  <c r="Y28" i="21" s="1"/>
  <c r="Z25" i="21"/>
  <c r="AB25" i="21"/>
  <c r="AH25" i="21"/>
  <c r="AJ25" i="21"/>
  <c r="AM25" i="21"/>
  <c r="AN25" i="21"/>
  <c r="AP25" i="21"/>
  <c r="AT25" i="21"/>
  <c r="AT28" i="21"/>
  <c r="AV25" i="21"/>
  <c r="AW25" i="21"/>
  <c r="AY25" i="21"/>
  <c r="AZ25" i="21"/>
  <c r="F28" i="21"/>
  <c r="H28" i="21"/>
  <c r="I28" i="21"/>
  <c r="J28" i="21"/>
  <c r="K28" i="21"/>
  <c r="M28" i="21"/>
  <c r="N28" i="21"/>
  <c r="P28" i="21"/>
  <c r="R28" i="21"/>
  <c r="AU28" i="21"/>
  <c r="O29" i="21"/>
  <c r="AZ34" i="21"/>
  <c r="AZ35" i="21"/>
  <c r="F36" i="21"/>
  <c r="H36" i="21"/>
  <c r="I36" i="21"/>
  <c r="J36" i="21"/>
  <c r="K36" i="21"/>
  <c r="N36" i="21"/>
  <c r="P36" i="21"/>
  <c r="R36" i="21"/>
  <c r="S36" i="21"/>
  <c r="T36" i="21"/>
  <c r="U36" i="21"/>
  <c r="U38" i="21" s="1"/>
  <c r="W36" i="21"/>
  <c r="Y36" i="21"/>
  <c r="F38" i="21"/>
  <c r="H38" i="21"/>
  <c r="I38" i="21"/>
  <c r="J38" i="21"/>
  <c r="K38" i="21"/>
  <c r="M38" i="21"/>
  <c r="N38" i="21"/>
  <c r="O38" i="21"/>
  <c r="P38" i="21"/>
  <c r="R38" i="21"/>
  <c r="S38" i="21"/>
  <c r="T38" i="21"/>
  <c r="W38" i="21"/>
  <c r="X38" i="21"/>
  <c r="Y38" i="21"/>
  <c r="AT38" i="21"/>
  <c r="AU38" i="21"/>
  <c r="AV39" i="21"/>
  <c r="AW39" i="21"/>
  <c r="AX39" i="21"/>
  <c r="AY39" i="21"/>
  <c r="AZ39" i="21"/>
  <c r="F45" i="21"/>
  <c r="H45" i="21"/>
  <c r="H54" i="21"/>
  <c r="H55" i="21" s="1"/>
  <c r="I45" i="21"/>
  <c r="J45" i="21"/>
  <c r="K45" i="21"/>
  <c r="M45" i="21"/>
  <c r="N45" i="21"/>
  <c r="O45" i="21"/>
  <c r="P45" i="21"/>
  <c r="R45" i="21"/>
  <c r="S45" i="21"/>
  <c r="T45" i="21"/>
  <c r="U45" i="21"/>
  <c r="W45" i="21"/>
  <c r="X45" i="21"/>
  <c r="Y45" i="21"/>
  <c r="AT45" i="21"/>
  <c r="AU45" i="21"/>
  <c r="AV46" i="21"/>
  <c r="AW46" i="21"/>
  <c r="AY46" i="21"/>
  <c r="AZ46" i="21"/>
  <c r="AK50" i="21"/>
  <c r="S51" i="21"/>
  <c r="T51" i="21"/>
  <c r="U51" i="21"/>
  <c r="U53" i="21"/>
  <c r="W51" i="21"/>
  <c r="W53" i="21"/>
  <c r="W54" i="21" s="1"/>
  <c r="W55" i="21" s="1"/>
  <c r="X51" i="21"/>
  <c r="Y51" i="21"/>
  <c r="Y53" i="21" s="1"/>
  <c r="Y54" i="21" s="1"/>
  <c r="Y55" i="21" s="1"/>
  <c r="Z51" i="21"/>
  <c r="AB51" i="21"/>
  <c r="AC51" i="21"/>
  <c r="AH51" i="21"/>
  <c r="AJ51" i="21"/>
  <c r="AM51" i="21"/>
  <c r="AN51" i="21"/>
  <c r="AP51" i="21"/>
  <c r="AT51" i="21"/>
  <c r="AT53" i="21" s="1"/>
  <c r="AT54" i="21" s="1"/>
  <c r="AT55" i="21" s="1"/>
  <c r="AU51" i="21"/>
  <c r="AV51" i="21"/>
  <c r="AW51" i="21"/>
  <c r="AX51" i="21"/>
  <c r="AY51" i="21"/>
  <c r="AZ51" i="21"/>
  <c r="F53" i="21"/>
  <c r="F54" i="21" s="1"/>
  <c r="F55" i="21" s="1"/>
  <c r="H53" i="21"/>
  <c r="I53" i="21"/>
  <c r="I54" i="21" s="1"/>
  <c r="I55" i="21" s="1"/>
  <c r="J53" i="21"/>
  <c r="J54" i="21"/>
  <c r="J55" i="21"/>
  <c r="K53" i="21"/>
  <c r="K54" i="21" s="1"/>
  <c r="M53" i="21"/>
  <c r="N53" i="21"/>
  <c r="O53" i="21"/>
  <c r="O54" i="21" s="1"/>
  <c r="O55" i="21" s="1"/>
  <c r="P53" i="21"/>
  <c r="P54" i="21" s="1"/>
  <c r="P55" i="21" s="1"/>
  <c r="R53" i="21"/>
  <c r="R54" i="21"/>
  <c r="R55" i="21" s="1"/>
  <c r="S53" i="21"/>
  <c r="S54" i="21"/>
  <c r="S55" i="21" s="1"/>
  <c r="T53" i="21"/>
  <c r="T54" i="21" s="1"/>
  <c r="X53" i="21"/>
  <c r="X54" i="21"/>
  <c r="X55" i="21" s="1"/>
  <c r="M54" i="21"/>
  <c r="M55" i="21" s="1"/>
  <c r="AU54" i="21"/>
  <c r="AU55" i="21" s="1"/>
  <c r="BB11" i="22"/>
  <c r="BD11" i="22"/>
  <c r="BD12" i="22"/>
  <c r="BD15" i="22" s="1"/>
  <c r="BE11" i="22"/>
  <c r="BE12" i="22" s="1"/>
  <c r="BE15" i="22" s="1"/>
  <c r="BG11" i="22"/>
  <c r="BA12" i="22"/>
  <c r="BA15" i="22" s="1"/>
  <c r="BA34" i="22"/>
  <c r="BB12" i="22"/>
  <c r="BB15" i="22" s="1"/>
  <c r="BC12" i="22"/>
  <c r="BC15" i="22" s="1"/>
  <c r="BF12" i="22"/>
  <c r="BF15" i="22" s="1"/>
  <c r="BG12" i="22"/>
  <c r="BG15" i="22" s="1"/>
  <c r="BH12" i="22"/>
  <c r="BI12" i="22"/>
  <c r="BI15" i="22" s="1"/>
  <c r="BI34" i="22" s="1"/>
  <c r="BJ12" i="22"/>
  <c r="BJ15" i="22" s="1"/>
  <c r="BJ34" i="22" s="1"/>
  <c r="BK12" i="22"/>
  <c r="BK15" i="22" s="1"/>
  <c r="BN12" i="22"/>
  <c r="BN15" i="22" s="1"/>
  <c r="BN34" i="22" s="1"/>
  <c r="BO12" i="22"/>
  <c r="BO15" i="22"/>
  <c r="BO34" i="22" s="1"/>
  <c r="BD14" i="22"/>
  <c r="BE14" i="22"/>
  <c r="BH15" i="22"/>
  <c r="BL15" i="22"/>
  <c r="BM15" i="22"/>
  <c r="BC21" i="22"/>
  <c r="AR22" i="22"/>
  <c r="AS22" i="22"/>
  <c r="AU22" i="22"/>
  <c r="BC22" i="22"/>
  <c r="BC23" i="22"/>
  <c r="BA23" i="22"/>
  <c r="BB23" i="22"/>
  <c r="BD23" i="22"/>
  <c r="BE23" i="22"/>
  <c r="BF23" i="22"/>
  <c r="BG23" i="22"/>
  <c r="BH23" i="22"/>
  <c r="BH34" i="22"/>
  <c r="BI23" i="22"/>
  <c r="BJ23" i="22"/>
  <c r="BK23" i="22"/>
  <c r="BL23" i="22"/>
  <c r="BM23" i="22"/>
  <c r="BN23" i="22"/>
  <c r="BO23" i="22"/>
  <c r="BG31" i="22"/>
  <c r="BG32" i="22" s="1"/>
  <c r="BG34" i="22" s="1"/>
  <c r="BG37" i="22" s="1"/>
  <c r="BA32" i="22"/>
  <c r="BH32" i="22"/>
  <c r="BI32" i="22"/>
  <c r="BJ32" i="22"/>
  <c r="BK32" i="22"/>
  <c r="BL32" i="22"/>
  <c r="BM32" i="22"/>
  <c r="BM34" i="22" s="1"/>
  <c r="BN32" i="22"/>
  <c r="BO32" i="22"/>
  <c r="BG36" i="22"/>
  <c r="N19" i="21"/>
  <c r="N29" i="21" s="1"/>
  <c r="BL14" i="30"/>
  <c r="BL17" i="30"/>
  <c r="BL39" i="30" s="1"/>
  <c r="BL40" i="30" s="1"/>
  <c r="BJ28" i="31"/>
  <c r="BJ31" i="31" s="1"/>
  <c r="AP50" i="29"/>
  <c r="AP18" i="29"/>
  <c r="W26" i="29"/>
  <c r="P14" i="15"/>
  <c r="W14" i="15"/>
  <c r="Y18" i="30"/>
  <c r="AX33" i="30"/>
  <c r="AX35" i="30" s="1"/>
  <c r="AX39" i="30"/>
  <c r="AX40" i="30"/>
  <c r="BB40" i="30" s="1"/>
  <c r="K17" i="30"/>
  <c r="K33" i="30" s="1"/>
  <c r="K35" i="30" s="1"/>
  <c r="AA22" i="31"/>
  <c r="AA26" i="31"/>
  <c r="Y26" i="31"/>
  <c r="BG12" i="31"/>
  <c r="G49" i="29"/>
  <c r="G50" i="29"/>
  <c r="AV26" i="29"/>
  <c r="AS39" i="30"/>
  <c r="J33" i="30"/>
  <c r="J35" i="30" s="1"/>
  <c r="BG9" i="31"/>
  <c r="AZ33" i="30"/>
  <c r="AZ35" i="30"/>
  <c r="AZ39" i="30"/>
  <c r="AG33" i="30"/>
  <c r="AG35" i="30" s="1"/>
  <c r="BN18" i="31"/>
  <c r="AT18" i="29"/>
  <c r="AT26" i="29" s="1"/>
  <c r="S18" i="29"/>
  <c r="S26" i="29" s="1"/>
  <c r="I18" i="29"/>
  <c r="I26" i="29"/>
  <c r="AP26" i="29"/>
  <c r="AU39" i="30"/>
  <c r="AI18" i="30"/>
  <c r="BK33" i="30"/>
  <c r="BK35" i="30" s="1"/>
  <c r="S28" i="31"/>
  <c r="S31" i="31"/>
  <c r="AK50" i="29"/>
  <c r="BL34" i="22"/>
  <c r="BD28" i="31"/>
  <c r="P17" i="15"/>
  <c r="W17" i="15"/>
  <c r="F19" i="21"/>
  <c r="F29" i="21" s="1"/>
  <c r="BL56" i="30"/>
  <c r="BK57" i="30"/>
  <c r="BK61" i="30" s="1"/>
  <c r="V33" i="30"/>
  <c r="V35" i="30" s="1"/>
  <c r="BA33" i="30"/>
  <c r="BA35" i="30" s="1"/>
  <c r="BN26" i="31"/>
  <c r="U28" i="31"/>
  <c r="AQ26" i="29"/>
  <c r="BM12" i="31"/>
  <c r="BL12" i="31"/>
  <c r="AD7" i="15"/>
  <c r="BB39" i="30"/>
  <c r="BN12" i="31"/>
  <c r="W15" i="15"/>
  <c r="BH8" i="15"/>
  <c r="BB6" i="15"/>
  <c r="BL18" i="31"/>
  <c r="BA49" i="29" l="1"/>
  <c r="BA50" i="29" s="1"/>
  <c r="BA18" i="29"/>
  <c r="BA26" i="29" s="1"/>
  <c r="Y18" i="20"/>
  <c r="Y38" i="20" s="1"/>
  <c r="Y40" i="20" s="1"/>
  <c r="Z48" i="20"/>
  <c r="V40" i="20"/>
  <c r="Z28" i="20"/>
  <c r="BK18" i="20"/>
  <c r="BH38" i="20"/>
  <c r="M38" i="20"/>
  <c r="M40" i="20" s="1"/>
  <c r="P38" i="20"/>
  <c r="P40" i="20" s="1"/>
  <c r="AJ38" i="20"/>
  <c r="AJ40" i="20" s="1"/>
  <c r="W18" i="20"/>
  <c r="W38" i="20" s="1"/>
  <c r="W40" i="20" s="1"/>
  <c r="Z15" i="20"/>
  <c r="Y49" i="20"/>
  <c r="Z12" i="20"/>
  <c r="Z49" i="20" s="1"/>
  <c r="BK15" i="20"/>
  <c r="Y17" i="20"/>
  <c r="Z17" i="20" s="1"/>
  <c r="AI48" i="20"/>
  <c r="K49" i="20"/>
  <c r="AP70" i="20"/>
  <c r="Y21" i="20"/>
  <c r="Z21" i="20" s="1"/>
  <c r="M46" i="20"/>
  <c r="M50" i="20" s="1"/>
  <c r="Y48" i="20"/>
  <c r="AJ48" i="20"/>
  <c r="W32" i="20"/>
  <c r="Z32" i="20" s="1"/>
  <c r="Z14" i="20"/>
  <c r="P7" i="15"/>
  <c r="BB7" i="15"/>
  <c r="AF28" i="31"/>
  <c r="AJ33" i="30"/>
  <c r="AJ35" i="30" s="1"/>
  <c r="BG28" i="31"/>
  <c r="AT33" i="30"/>
  <c r="AT35" i="30" s="1"/>
  <c r="AP28" i="30"/>
  <c r="AP26" i="30" s="1"/>
  <c r="AP33" i="30" s="1"/>
  <c r="AP35" i="30" s="1"/>
  <c r="BA28" i="31"/>
  <c r="AG49" i="29"/>
  <c r="AG50" i="29" s="1"/>
  <c r="AU49" i="29"/>
  <c r="AU50" i="29" s="1"/>
  <c r="AR50" i="29"/>
  <c r="AU26" i="29"/>
  <c r="M26" i="29"/>
  <c r="Y61" i="30"/>
  <c r="K28" i="31"/>
  <c r="K31" i="31" s="1"/>
  <c r="AZ28" i="31"/>
  <c r="AQ50" i="29"/>
  <c r="AI50" i="29"/>
  <c r="AL26" i="29"/>
  <c r="AD33" i="30"/>
  <c r="AD35" i="30" s="1"/>
  <c r="U17" i="30"/>
  <c r="Y14" i="30"/>
  <c r="AI14" i="30"/>
  <c r="AI17" i="30" s="1"/>
  <c r="AC28" i="31"/>
  <c r="AC31" i="31" s="1"/>
  <c r="AV49" i="29"/>
  <c r="AV50" i="29" s="1"/>
  <c r="BH4" i="15"/>
  <c r="BB4" i="15"/>
  <c r="Y29" i="21"/>
  <c r="BL28" i="30"/>
  <c r="BH26" i="30"/>
  <c r="BH33" i="30" s="1"/>
  <c r="BM28" i="31"/>
  <c r="T55" i="21"/>
  <c r="N54" i="21"/>
  <c r="N55" i="21" s="1"/>
  <c r="AW33" i="30"/>
  <c r="AW35" i="30" s="1"/>
  <c r="O28" i="31"/>
  <c r="O31" i="31" s="1"/>
  <c r="Q28" i="31"/>
  <c r="Q31" i="31" s="1"/>
  <c r="U54" i="21"/>
  <c r="U55" i="21" s="1"/>
  <c r="L17" i="30"/>
  <c r="L33" i="30" s="1"/>
  <c r="L35" i="30" s="1"/>
  <c r="AD26" i="29"/>
  <c r="BK34" i="22"/>
  <c r="K55" i="21"/>
  <c r="W29" i="21"/>
  <c r="BE33" i="30"/>
  <c r="BE35" i="30" s="1"/>
  <c r="AU33" i="30"/>
  <c r="AU35" i="30" s="1"/>
  <c r="BG18" i="31"/>
  <c r="AQ28" i="31"/>
  <c r="AQ26" i="30"/>
  <c r="AQ33" i="30" s="1"/>
  <c r="AQ35" i="30" s="1"/>
  <c r="BB11" i="15"/>
  <c r="W10" i="15"/>
  <c r="BN9" i="31"/>
  <c r="BK38" i="20" l="1"/>
  <c r="BH40" i="20"/>
  <c r="BK40" i="20" s="1"/>
  <c r="Z40" i="20"/>
  <c r="Z38" i="20"/>
  <c r="Z18" i="20"/>
  <c r="BH35" i="30"/>
  <c r="BL35" i="30" s="1"/>
  <c r="BL33" i="30"/>
  <c r="U33" i="30"/>
  <c r="Y17" i="30"/>
  <c r="BL26" i="30"/>
  <c r="BL28" i="31"/>
  <c r="BN28" i="31"/>
  <c r="BN31" i="31"/>
  <c r="AI39" i="30"/>
  <c r="AI33" i="30"/>
  <c r="AI35" i="30" s="1"/>
  <c r="Y33" i="30" l="1"/>
  <c r="U35" i="30"/>
  <c r="Y35" i="30" s="1"/>
</calcChain>
</file>

<file path=xl/sharedStrings.xml><?xml version="1.0" encoding="utf-8"?>
<sst xmlns="http://schemas.openxmlformats.org/spreadsheetml/2006/main" count="1333" uniqueCount="436">
  <si>
    <t>1Q14</t>
  </si>
  <si>
    <t>2Q14</t>
  </si>
  <si>
    <t>3Q14</t>
  </si>
  <si>
    <t>4Q14</t>
  </si>
  <si>
    <t>1Q15</t>
  </si>
  <si>
    <t>2Q15</t>
  </si>
  <si>
    <t>3Q15</t>
  </si>
  <si>
    <t>4Q15</t>
  </si>
  <si>
    <t>1Q16</t>
  </si>
  <si>
    <t>2Q16</t>
  </si>
  <si>
    <t>3Q16</t>
  </si>
  <si>
    <t>4Q16</t>
  </si>
  <si>
    <t xml:space="preserve">     KGHM Polska Miedź S.A.</t>
  </si>
  <si>
    <t xml:space="preserve">     KGHM INTERNATIONAL LTD.</t>
  </si>
  <si>
    <t xml:space="preserve">     Sierra Gorda S.C.M.</t>
  </si>
  <si>
    <t>-</t>
  </si>
  <si>
    <t>1Q17</t>
  </si>
  <si>
    <t>2Q17</t>
  </si>
  <si>
    <t>2015</t>
  </si>
  <si>
    <t>2016</t>
  </si>
  <si>
    <t>3Q17</t>
  </si>
  <si>
    <t>4Q17</t>
  </si>
  <si>
    <t>KGHM Polska Miedź S.A.</t>
  </si>
  <si>
    <t>KGHM INTERNATIONAL LTD.</t>
  </si>
  <si>
    <t>Sierra Gorda S.C.M. (55%)</t>
  </si>
  <si>
    <t>119,6</t>
  </si>
  <si>
    <t>Sierra Gorda S.C.M. – segment (55%)</t>
  </si>
  <si>
    <t>1Q18</t>
  </si>
  <si>
    <t>ND</t>
  </si>
  <si>
    <t>2Q18</t>
  </si>
  <si>
    <t>3Q18</t>
  </si>
  <si>
    <t>x</t>
  </si>
  <si>
    <t xml:space="preserve"> -</t>
  </si>
  <si>
    <t>4Q18</t>
  </si>
  <si>
    <t>Sierra Gorda S.C.M.*</t>
  </si>
  <si>
    <t>1Q19</t>
  </si>
  <si>
    <t>2Q19</t>
  </si>
  <si>
    <t>1,7</t>
  </si>
  <si>
    <t>Sierra Gorda*</t>
  </si>
  <si>
    <t>3Q19</t>
  </si>
  <si>
    <t>4Q19</t>
  </si>
  <si>
    <t>1Q20</t>
  </si>
  <si>
    <t>2Q20</t>
  </si>
  <si>
    <t>3Q20</t>
  </si>
  <si>
    <t>4Q20</t>
  </si>
  <si>
    <t>- </t>
  </si>
  <si>
    <t>DANE FINANSOWE - PRZYCHODY I KOSZTY                                                     KGHM Polska Miedź S.A. (w mln PLN)</t>
  </si>
  <si>
    <t>1Q21</t>
  </si>
  <si>
    <t>2Q21</t>
  </si>
  <si>
    <t>3Q21</t>
  </si>
  <si>
    <t>4Q21</t>
  </si>
  <si>
    <t>1Q22</t>
  </si>
  <si>
    <t>2Q22</t>
  </si>
  <si>
    <t>3Q22</t>
  </si>
  <si>
    <t>4Q22</t>
  </si>
  <si>
    <t>1Q23</t>
  </si>
  <si>
    <t>2Q23</t>
  </si>
  <si>
    <t>3Q23</t>
  </si>
  <si>
    <t>1Q23*</t>
  </si>
  <si>
    <t>2Q23*</t>
  </si>
  <si>
    <t>3Q23*</t>
  </si>
  <si>
    <t>4Q23</t>
  </si>
  <si>
    <t>4Q23*</t>
  </si>
  <si>
    <t>2023*</t>
  </si>
  <si>
    <t>1Q24</t>
  </si>
  <si>
    <t>1Q24*</t>
  </si>
  <si>
    <t>1,80****</t>
  </si>
  <si>
    <t>1,83****</t>
  </si>
  <si>
    <t>2Q24</t>
  </si>
  <si>
    <t>2Q24*</t>
  </si>
  <si>
    <t>3Q24</t>
  </si>
  <si>
    <t>3Q24*</t>
  </si>
  <si>
    <t>4Q24</t>
  </si>
  <si>
    <t>4Q24*</t>
  </si>
  <si>
    <t>2024*</t>
  </si>
  <si>
    <t xml:space="preserve">4Q24 </t>
  </si>
  <si>
    <t>1Q25</t>
  </si>
  <si>
    <t>1Q25*</t>
  </si>
  <si>
    <t>KGHM INTERNATIONAL</t>
  </si>
  <si>
    <t>2Q25</t>
  </si>
  <si>
    <t>2Q25*</t>
  </si>
  <si>
    <t>3Q25</t>
  </si>
  <si>
    <t>3Q25*</t>
  </si>
  <si>
    <t>4Q25</t>
  </si>
  <si>
    <t>4Q25*</t>
  </si>
  <si>
    <t>2025*</t>
  </si>
  <si>
    <t>1Q26</t>
  </si>
  <si>
    <t>1Q26*</t>
  </si>
  <si>
    <t>2Q26</t>
  </si>
  <si>
    <r>
      <rPr>
        <b/>
        <sz val="24"/>
        <color indexed="21"/>
        <rFont val="Open Sans"/>
        <family val="2"/>
        <charset val="238"/>
      </rPr>
      <t xml:space="preserve">KGHM Polska Miedź S.A. and the 
KGHM Polska Miedź S.A. Group
</t>
    </r>
    <r>
      <rPr>
        <b/>
        <sz val="16"/>
        <rFont val="Open Sans"/>
        <family val="2"/>
        <charset val="238"/>
      </rPr>
      <t>Basic financial data for the period from 2014 to 2Q'26</t>
    </r>
    <r>
      <rPr>
        <b/>
        <sz val="16"/>
        <color indexed="21"/>
        <rFont val="Open Sans"/>
        <family val="2"/>
        <charset val="238"/>
      </rPr>
      <t xml:space="preserve">
</t>
    </r>
  </si>
  <si>
    <r>
      <rPr>
        <b/>
        <sz val="11"/>
        <color indexed="10"/>
        <rFont val="Open Sans"/>
        <family val="2"/>
        <charset val="238"/>
      </rPr>
      <t xml:space="preserve">THIS SPREADSHEET HAS BEEN PREPARED SOLELY FOR INFORMATIONAL PURPOSES. THE OFFICIAL SOURCE OF FINANCIAL DATA ARE THE PERIODIC REPORTS OF KGHM Polska Miedź S.A.
</t>
    </r>
    <r>
      <rPr>
        <b/>
        <sz val="11"/>
        <rFont val="Open Sans"/>
        <family val="2"/>
        <charset val="238"/>
      </rPr>
      <t xml:space="preserve">Data prepared on the basis of the Financial Statements of KGHM Polska Miedź S.A. and of the KGHM Polska Miedź S.A. Group included in the periodic reports of KGHM Polska Miedź S.A. and of the KGHM Group
   </t>
    </r>
    <r>
      <rPr>
        <b/>
        <i/>
        <sz val="11"/>
        <rFont val="Open Sans"/>
        <family val="2"/>
        <charset val="238"/>
      </rPr>
      <t>Translation from the original Polish version</t>
    </r>
    <r>
      <rPr>
        <b/>
        <sz val="11"/>
        <rFont val="Open Sans"/>
        <family val="2"/>
        <charset val="238"/>
      </rPr>
      <t xml:space="preserve">
</t>
    </r>
  </si>
  <si>
    <t>FINANCIAL DATA - REVENUES AND COSTS OF THE KGHM Polska Miedź S.A. GROUP (in mn PLN)</t>
  </si>
  <si>
    <t>BASIC MACROECONOMIC PARAMETERS</t>
  </si>
  <si>
    <t>Copper price (USD/t)</t>
  </si>
  <si>
    <t>Silver price (USD/oz t)</t>
  </si>
  <si>
    <t>USD/PLN exchange rate (average for the period)</t>
  </si>
  <si>
    <t>USD/PLN exchange rate (end of period)</t>
  </si>
  <si>
    <t>STATEMENT OF PROFIT OR LOSS</t>
  </si>
  <si>
    <t>Revenue from contracts with customers, of which:</t>
  </si>
  <si>
    <t>Cost of sales</t>
  </si>
  <si>
    <t>Gross profit / (loss)</t>
  </si>
  <si>
    <t xml:space="preserve">Selling costs </t>
  </si>
  <si>
    <t>Administrative expenses</t>
  </si>
  <si>
    <t>Profit / (Loss) on sales (EBIT), of which:</t>
  </si>
  <si>
    <t>Profit or loss on involvement in joint ventures</t>
  </si>
  <si>
    <t>Share in the profit or loss of a joint venture accounted for using the equity method</t>
  </si>
  <si>
    <t>Impairment loss on interests in joint ventures</t>
  </si>
  <si>
    <t>Reversal of an impairment loss on shares in a joint venture</t>
  </si>
  <si>
    <t xml:space="preserve">Gain due to the reversal of allowances for impairment of loans granted to a joint venture </t>
  </si>
  <si>
    <t>Loss due to the allowances for impairment of loans granted to a joint venture</t>
  </si>
  <si>
    <t>Interest on loans granted to joint ventures</t>
  </si>
  <si>
    <t>Other operating income and (costs)</t>
  </si>
  <si>
    <t>Gains / (losses) due to exchange differences on assets and liabilities other than borrowings</t>
  </si>
  <si>
    <t>Measurement and realisation of derivatives</t>
  </si>
  <si>
    <t>Other operating income / (costs)</t>
  </si>
  <si>
    <t>Finance income and (costs)</t>
  </si>
  <si>
    <t>Measurement of derivatives</t>
  </si>
  <si>
    <t>Interest on borrowings</t>
  </si>
  <si>
    <t>Interest on trade payables within the reverse factoring mechanism***</t>
  </si>
  <si>
    <t>Gains / (losses) due to exchange differences on borrowings</t>
  </si>
  <si>
    <t>Other financial income / (costs)</t>
  </si>
  <si>
    <t>Profit / (Loss) before income tax</t>
  </si>
  <si>
    <t>Income tax expense</t>
  </si>
  <si>
    <t>PROFIT / (LOSS) FOR THE PERIOD</t>
  </si>
  <si>
    <t>Depreciation/amortisation recognised in profit or loss</t>
  </si>
  <si>
    <t>Depreciation/amortisation recognized in expenses by nature*</t>
  </si>
  <si>
    <r>
      <t xml:space="preserve">Adjusted EBITDA*
</t>
    </r>
    <r>
      <rPr>
        <sz val="7"/>
        <rFont val="Open Sans"/>
        <family val="2"/>
        <charset val="238"/>
      </rPr>
      <t>(EBITDA + impairment losses / reversal of impairment losses
recognised in cost of sales, selling costs and administrative expenses), of which:</t>
    </r>
  </si>
  <si>
    <r>
      <t xml:space="preserve">EBITDA margin**
</t>
    </r>
    <r>
      <rPr>
        <sz val="7"/>
        <rFont val="Open Sans"/>
        <family val="2"/>
        <charset val="238"/>
      </rPr>
      <t>(Adjusted EBITDA to revenue from sales with customers)</t>
    </r>
  </si>
  <si>
    <r>
      <t xml:space="preserve">* As at 30 September 2023 the Company </t>
    </r>
    <r>
      <rPr>
        <b/>
        <sz val="7"/>
        <rFont val="Open Sans"/>
        <family val="2"/>
        <charset val="238"/>
      </rPr>
      <t>redefined adjusted EBITDA</t>
    </r>
    <r>
      <rPr>
        <sz val="7"/>
        <rFont val="Open Sans"/>
        <family val="2"/>
        <charset val="238"/>
      </rPr>
      <t>, reflecting in the calculation methodology depreciation/amortisation recognized in expenses by nature (previously depreciation/amortisation was recognized in profit or loss).</t>
    </r>
  </si>
  <si>
    <t>**For the purposes of calculating the Group’s EBITDA margin, consolidated sales revenue was increased by the sales revenue of the segment Sierra Gorda S.C.M.</t>
  </si>
  <si>
    <t>***Since Q1 2024 the item "Interest on reverse factoring" is presented separately (previously presented in the item "Interest on borrowings"), in consequence of which the comparable periods also changed</t>
  </si>
  <si>
    <t>C1 cash cost of  producing  copper in concentrate (USD/lb)</t>
  </si>
  <si>
    <t>EXPENSES BY NATURE OF THE GROUP</t>
  </si>
  <si>
    <t>Depreciation of property, plant and equipment and amortisation of intangible assets</t>
  </si>
  <si>
    <t>Employee benefits expenses</t>
  </si>
  <si>
    <t>Materials and energy</t>
  </si>
  <si>
    <t>External services</t>
  </si>
  <si>
    <t>Minerals extraction tax</t>
  </si>
  <si>
    <t>Other taxes and charges</t>
  </si>
  <si>
    <t>(Reversals of)/impairment losses on non-current assets and intangible assets</t>
  </si>
  <si>
    <t>Other costs</t>
  </si>
  <si>
    <t>Total expenses by nature</t>
  </si>
  <si>
    <t>Cost of merchandise and materials sold (+)</t>
  </si>
  <si>
    <t>Change in inventories of finished goods and work in progress (+/-)</t>
  </si>
  <si>
    <t>Cost of manufacturing products for internal use by the Group (-) 
(mainly pre-stripping costs in open-pit mines)</t>
  </si>
  <si>
    <t>Costs of basic operating activities                                                                                                               (Costs of sales, selling costs and administrative expenses)</t>
  </si>
  <si>
    <t>****  C1 cost for the first quarter of 2018 adjusted by the change in the value of depreciation adjusting the cash cost of producing concentrate</t>
  </si>
  <si>
    <t>II quarter 2026</t>
  </si>
  <si>
    <t>II quarter 2025</t>
  </si>
  <si>
    <t>As at 30.06.2026</t>
  </si>
  <si>
    <t>As at 31.12.2025</t>
  </si>
  <si>
    <t>Other segments</t>
  </si>
  <si>
    <t>Reconciliation items to consolidated data</t>
  </si>
  <si>
    <t>Consolidated financial statements</t>
  </si>
  <si>
    <t>Elimination of data of the segment Sierra Gorda S.C.M.</t>
  </si>
  <si>
    <t>Consolidation adjustments
****</t>
  </si>
  <si>
    <t>* 55% of the Group’s share in Sierra Gorda S.C.M.’s financial and production data</t>
  </si>
  <si>
    <t xml:space="preserve">** Unit cash cost of payable copper production, reflecting ore mining and processing costs, transport costs, the minerals extraction tax, administrative expenses during the mining phase and smelter treatment and refining charges (TC/RC) less by-product value. C1 cost refers to payable copper in own concentrate in the case of the segment KGHM Polska Miedź S.A. and payable copper in the final products of individual mines of the segments KGHM INTERNATIONAL LTD. and Sierra Gorda S.C.M. C1 cost in PLN/lb was calculated using the average exchange rate of the NBP (arithmetic average of daily quotations per NBP tables).
</t>
  </si>
  <si>
    <t xml:space="preserve">*** Adjusted EBITDA to revenues from contracts with customers. For the purposes of calculating the Group’s EBITDA margin (42%) the consolidated revenues from contracts with customers were increased by revenues from contracts with customers of the segment Sierra Gorda S.C.M.  [3 734 / (12 839 + 1 439) * 100] </t>
  </si>
  <si>
    <t>**** Adjustments arise from consolidation eliminations and financial data of companies unallocated to any segment</t>
  </si>
  <si>
    <t>FINANCIAL RESULTS OF REPORTING SEGMENTS                                                    (MN PLN)</t>
  </si>
  <si>
    <t>Revenues from contracts with customers, of which:</t>
  </si>
  <si>
    <t>- inter-segment</t>
  </si>
  <si>
    <t>- external</t>
  </si>
  <si>
    <t>Cost of sales, selling costs and administrative expenses</t>
  </si>
  <si>
    <t>Segment result - profit/(loss) for the period</t>
  </si>
  <si>
    <t>Additional information on significant revenue/cost items of the segment</t>
  </si>
  <si>
    <t>Depreciation/amortisation recognised in expenses by nature</t>
  </si>
  <si>
    <t>Assets</t>
  </si>
  <si>
    <t>Liabilities, including:</t>
  </si>
  <si>
    <t xml:space="preserve">   Segment liabilities</t>
  </si>
  <si>
    <t xml:space="preserve">   Liabilities unallocated to segments</t>
  </si>
  <si>
    <t>OTHER INFORMATION</t>
  </si>
  <si>
    <t>Cash expenditures on property, plant and equipment and intangible assets – cash flows</t>
  </si>
  <si>
    <t>Production and cost data</t>
  </si>
  <si>
    <t>Payable copper (kt)</t>
  </si>
  <si>
    <t>Molybdenum (million pounds)</t>
  </si>
  <si>
    <t>Silver (t)</t>
  </si>
  <si>
    <t>TPM (koz t)</t>
  </si>
  <si>
    <t>C1 cash cost of producing copper in concentrate (USD/lb)**</t>
  </si>
  <si>
    <t>Segment result - adjusted EBITDA</t>
  </si>
  <si>
    <t>EBITDA margin***</t>
  </si>
  <si>
    <t>FINANCIAL RESULTS OF REPORTING SEGMENTS
(MN PLN)</t>
  </si>
  <si>
    <t>`</t>
  </si>
  <si>
    <t xml:space="preserve">   Segment assets</t>
  </si>
  <si>
    <t xml:space="preserve">   Assets unallocated to segments</t>
  </si>
  <si>
    <t>C1 cash cost of  producing copper in concentrate (USD/lb)**</t>
  </si>
  <si>
    <t>** Unit cash cost of payable copper production, reflecting ore mining and processing costs, transport costs, the minerals extraction tax, administrative expenses during the mining phase and smelter treatment and refining charges (TC/RC) less by-product value. C1 cost refers to payable copper in own concentrate in the case of the segment KGHM Polska Miedź S.A. and payable copper in the final products of individual mines of the segments KGHM INTERNATIONAL LTD. and Sierra Gorda S.C.M. C1 cost in PLN/lb was calculated using the average exchange rate of the NBP (arithmetic average of daily quotations per NBP tables).</t>
  </si>
  <si>
    <t xml:space="preserve">*** Adjusted EBITDA to revenues from contracts with customers. For the purposes of calculating the Group’s EBITDA margin (25%) the consolidated revenues from contracts with customers were increased by revenues from contracts with customers of the segment Sierra Gorda S.C.M.  [2 374 / (8 614 + 988) * 100] </t>
  </si>
  <si>
    <t>FINANCIAL DATA - STATEMENT OF CASH FLOWS OF THE KGHM Polska Miedź S.A. GROUP (in mn PLN)</t>
  </si>
  <si>
    <t>Share in profits of a joint venture accounted for using the equity method</t>
  </si>
  <si>
    <t>Gain due to the reversal of allowances for impairment of loans granted to a joint venture</t>
  </si>
  <si>
    <t>Interest income on loans granted to joint ventures</t>
  </si>
  <si>
    <t>Interest and other costs of borrowings</t>
  </si>
  <si>
    <t>Other impairment losses / (reversal of impairment losses) on non-current assets</t>
  </si>
  <si>
    <t>Other adjustments</t>
  </si>
  <si>
    <t>Exclusions of income and costs, total</t>
  </si>
  <si>
    <t>Income tax paid</t>
  </si>
  <si>
    <t>Changes in working capital</t>
  </si>
  <si>
    <t>Net cash generated from operating activities</t>
  </si>
  <si>
    <t>Cash expenditures on mining and metallurgical assets</t>
  </si>
  <si>
    <t>Cash expenditures on other property, plant and equipment and intangible assets</t>
  </si>
  <si>
    <t>Loans granted to joint ventures</t>
  </si>
  <si>
    <t>Acquisition of newly-issued shares in joint ventures</t>
  </si>
  <si>
    <t>Repayment of loans granted to a joint venture</t>
  </si>
  <si>
    <t>Other income / (expenses)</t>
  </si>
  <si>
    <t>Net cash used in investing activities</t>
  </si>
  <si>
    <t>Proceeds from borrowings</t>
  </si>
  <si>
    <t>Proceeds from the issue of financial debt instruments</t>
  </si>
  <si>
    <t>Redemption of debt financial instruments</t>
  </si>
  <si>
    <t>Repayments of borrowings</t>
  </si>
  <si>
    <t>Dividends paid to shareholders of the Parent Entity</t>
  </si>
  <si>
    <t>Other (expenses) / income</t>
  </si>
  <si>
    <t>Net cash generated from financing activities</t>
  </si>
  <si>
    <t>TOTAL NET CASH FLOW</t>
  </si>
  <si>
    <t>Exchange gains/(losses)</t>
  </si>
  <si>
    <t>Cash and cash equivalents at the beginning of the period</t>
  </si>
  <si>
    <t>Cash and cash equivalents at the end of the period</t>
  </si>
  <si>
    <t>CASH EXPENDITURES ON PROPERTY, PLANT AND EQUIPMENT AND INTANGIBLE ASSETS OF THE MAIN  SEGMENTS:</t>
  </si>
  <si>
    <t>FINANCIAL DATA - STATEMENT OF FINANCIAL POSITION OF THE KGHM Polska Miedź S.A. GROUP (in mn PLN)</t>
  </si>
  <si>
    <t>ASSETS</t>
  </si>
  <si>
    <t>Mining and metallurgical property, plant and equipment</t>
  </si>
  <si>
    <t>Mining and metallurgical intangible assets</t>
  </si>
  <si>
    <t>Mining and metallurgical property, plant and equipment and intangible assets</t>
  </si>
  <si>
    <t xml:space="preserve">Other property, plant and equipment </t>
  </si>
  <si>
    <t>Other intangible assets</t>
  </si>
  <si>
    <t>Other property, plant and equipment and intangible assets</t>
  </si>
  <si>
    <t>Joint ventures accounted for using the equity method</t>
  </si>
  <si>
    <t>Total involvement in joint ventures</t>
  </si>
  <si>
    <t>Derivatives</t>
  </si>
  <si>
    <t>Other financial instruments measured at fair value</t>
  </si>
  <si>
    <t>Other financial assets measured at amortised cost</t>
  </si>
  <si>
    <t>Financial instruments, total</t>
  </si>
  <si>
    <t>Deferred tax assets</t>
  </si>
  <si>
    <t>Other non-financial assets</t>
  </si>
  <si>
    <t>Non-current assets</t>
  </si>
  <si>
    <t>Inventories</t>
  </si>
  <si>
    <t>Trade receivables</t>
  </si>
  <si>
    <t>Tax assets</t>
  </si>
  <si>
    <t>Involvement in joint ventures – loans granted</t>
  </si>
  <si>
    <t>Other assets</t>
  </si>
  <si>
    <t>Cash and cash equivalents</t>
  </si>
  <si>
    <t>Non-current assets held for sale (disposal group)</t>
  </si>
  <si>
    <t>Current assets</t>
  </si>
  <si>
    <t>Total assets</t>
  </si>
  <si>
    <t>EQUITY AND LIABILITIES</t>
  </si>
  <si>
    <t>Share capital</t>
  </si>
  <si>
    <t>Other reserves from measurement of financial instruments</t>
  </si>
  <si>
    <t>Accumulated other comprehensive income other than from measurement of financial instruments</t>
  </si>
  <si>
    <t>Retained earnings</t>
  </si>
  <si>
    <t>Equity attributable to shareholders of the Parent Entity</t>
  </si>
  <si>
    <t>Equity attributable to non-controlling interest</t>
  </si>
  <si>
    <t>Equity</t>
  </si>
  <si>
    <t xml:space="preserve">Borrowings, leases and debt securities </t>
  </si>
  <si>
    <t>Employee benefits liabilities</t>
  </si>
  <si>
    <t>Provisions for decommissioning costs of mines and other technological facilities</t>
  </si>
  <si>
    <t>Deferred tax liabilities</t>
  </si>
  <si>
    <t>Other liabilities</t>
  </si>
  <si>
    <t>Non-current liabilities</t>
  </si>
  <si>
    <t>Borrowings, leases and debt securities</t>
  </si>
  <si>
    <t>Trade payables</t>
  </si>
  <si>
    <t>Tax liabilities</t>
  </si>
  <si>
    <t>Liabilities related to disposal group</t>
  </si>
  <si>
    <t>Current liabilities</t>
  </si>
  <si>
    <t>Non-current and current liabilities</t>
  </si>
  <si>
    <t>Total equity and liabilities</t>
  </si>
  <si>
    <t>Copper</t>
  </si>
  <si>
    <t>Silver</t>
  </si>
  <si>
    <t>Profit / (Loss) on sales (EBIT)</t>
  </si>
  <si>
    <t>(Impairment losses) / reversal of impairment losses</t>
  </si>
  <si>
    <t>Gains / (losses) due to exchange differences on the measurement of assets and liabilities other than borrowings</t>
  </si>
  <si>
    <t>Interest on loans granted</t>
  </si>
  <si>
    <t>Interest on loans granted and other financial receivables</t>
  </si>
  <si>
    <t>Gains / (losses) from changes in the fair value of financial assets measured at fair value through profit or loss***</t>
  </si>
  <si>
    <t>Interest on reverse factoring**</t>
  </si>
  <si>
    <t>Bank fees and charges on borrowings</t>
  </si>
  <si>
    <t>Other finance income and (costs)</t>
  </si>
  <si>
    <r>
      <t xml:space="preserve">EBITDA  </t>
    </r>
    <r>
      <rPr>
        <sz val="7"/>
        <rFont val="Open Sans"/>
        <family val="2"/>
        <charset val="238"/>
      </rPr>
      <t>(EBIT + depreciation/amortisation)</t>
    </r>
  </si>
  <si>
    <r>
      <rPr>
        <b/>
        <sz val="7"/>
        <rFont val="Open Sans"/>
        <family val="2"/>
        <charset val="238"/>
      </rPr>
      <t xml:space="preserve">Adjusted EBITDA*                                                                                                                                                                                                                                                                                                                                                                       </t>
    </r>
    <r>
      <rPr>
        <sz val="7"/>
        <rFont val="Open Sans"/>
        <family val="2"/>
        <charset val="238"/>
      </rPr>
      <t xml:space="preserve"> (EBITDA + impairment losses (reversal of impairment losses)
recognised in cost of sales, selling costs and administrative expenses)</t>
    </r>
  </si>
  <si>
    <t xml:space="preserve">**Since Q1 2024 the item "Interest on reverse factoring" is presented separately (previously presented in the item "Interest on borrowings"), in consequence of which the comparable periods also changed
</t>
  </si>
  <si>
    <r>
      <t xml:space="preserve">C1 unit cash cost of production of payable copper in own concentrate (USD/lb)                                                        </t>
    </r>
    <r>
      <rPr>
        <sz val="6"/>
        <rFont val="Open Sans"/>
        <family val="2"/>
        <charset val="238"/>
      </rPr>
      <t>C1 cost reflects ore mining and processing costs, transport costs, the minerals extraction tax, administrative expenses during the mining phase and smelter treatment and refining charges (TC/RC) less by-product value. C1 cost was calculated using the average exchange rate by the NBP, which is set as arithmetical average of daily quotations per the NBP’s tables.</t>
    </r>
  </si>
  <si>
    <t>Expenses by nature</t>
  </si>
  <si>
    <t>Materials and energy, of which:</t>
  </si>
  <si>
    <t>Purchased metal-bearing materials</t>
  </si>
  <si>
    <t>Electrical and other energy</t>
  </si>
  <si>
    <t>External services, of which:</t>
  </si>
  <si>
    <t>Transport</t>
  </si>
  <si>
    <t>Repairs, maintenance and servicing</t>
  </si>
  <si>
    <t>Mine preparatory work</t>
  </si>
  <si>
    <t xml:space="preserve">Cost of manufacturing products for internal use (-) </t>
  </si>
  <si>
    <r>
      <t xml:space="preserve">Costs of basic operating activities                                                                                                                                 </t>
    </r>
    <r>
      <rPr>
        <sz val="7"/>
        <color indexed="21"/>
        <rFont val="Open Sans"/>
        <family val="2"/>
        <charset val="238"/>
      </rPr>
      <t>(Costs of sales, selling costs and administrative expenses)</t>
    </r>
  </si>
  <si>
    <t>***NA - not applicable - items which were not measured in accordance with principles arising from the application, from 1 January 2018, of IFRS 9</t>
  </si>
  <si>
    <t>FINANCIAL DATA - STATEMENT OF CASH FLOWS OF KGHM Polska Miedź S.A. (in mn PLN)</t>
  </si>
  <si>
    <t>Impairment losses / (reversal of impairment losses) on non-current assets</t>
  </si>
  <si>
    <t>Fair value gains on financial assets measured at fair value through profit or loss</t>
  </si>
  <si>
    <t>Expenditures on mining and metallurgical assets</t>
  </si>
  <si>
    <t>Expenditures on other property, plant and equipment and intangible assets</t>
  </si>
  <si>
    <t>Loans granted</t>
  </si>
  <si>
    <t>Proceeds from issue of debt financial instruments</t>
  </si>
  <si>
    <t>Dividends paid</t>
  </si>
  <si>
    <t xml:space="preserve">Interest and other costs </t>
  </si>
  <si>
    <t>Exchange gains/(losses) on cash and cash equivalents</t>
  </si>
  <si>
    <t>FINANCIAL DATA - STATEMENT OF FINANCIAL POSITION OF KGHM Polska Miedź S.A. (in mn PLN)</t>
  </si>
  <si>
    <t>Investments in subsidiaries and joint ventures</t>
  </si>
  <si>
    <t xml:space="preserve">Derivatives </t>
  </si>
  <si>
    <t>Other financial assets</t>
  </si>
  <si>
    <t>Accumulated other comprehensive income</t>
  </si>
  <si>
    <t>Borrowings</t>
  </si>
  <si>
    <t>Cash pool liabilities</t>
  </si>
  <si>
    <t>PRODUCTION OF BASIC GROUP PRODUCTS</t>
  </si>
  <si>
    <t>Electrolytic copper (kt)</t>
  </si>
  <si>
    <t>Wire rod, OFE and CuAg rod (kt)</t>
  </si>
  <si>
    <t>Round billets (kt)****</t>
  </si>
  <si>
    <t>Metallic silver (t)</t>
  </si>
  <si>
    <t>Metallic gold (koz t)</t>
  </si>
  <si>
    <t>Refined lead (kt)</t>
  </si>
  <si>
    <t>KGHM INTERNATIONAL LTD. Group</t>
  </si>
  <si>
    <t>Copper* (kt)</t>
  </si>
  <si>
    <t>Nickel (kt)</t>
  </si>
  <si>
    <t>Precious metals** (koz t)</t>
  </si>
  <si>
    <t>Molybdenum (mn lbs)</t>
  </si>
  <si>
    <t>Precious metals*** (koz t)</t>
  </si>
  <si>
    <t>* copper in the form of cathodes, payable copper in concentrate, payable copper in ore</t>
  </si>
  <si>
    <t>** gold, platinum, palladium</t>
  </si>
  <si>
    <t>*** gold</t>
  </si>
  <si>
    <t>****production suspended in Q4 2019</t>
  </si>
  <si>
    <t>Change (2016 to 2015)</t>
  </si>
  <si>
    <t>Change (2017 to 2016)</t>
  </si>
  <si>
    <t>Change (2018 to 2017)</t>
  </si>
  <si>
    <t>Change (2019 to 2018)</t>
  </si>
  <si>
    <t>Change     (2020 to 2019)</t>
  </si>
  <si>
    <t>Change     (2021 to 2020)</t>
  </si>
  <si>
    <t>Change     (2022 to 2021)</t>
  </si>
  <si>
    <t>Change (2023 to 2022)</t>
  </si>
  <si>
    <t>Change (2024 to 2023)</t>
  </si>
  <si>
    <t>Change (2Q26 to 2Q25)</t>
  </si>
  <si>
    <t>Monthly preliminary production of the KGHM Polska Miedź S.A. Group (pursuant to published production-sales reports)</t>
  </si>
  <si>
    <t>KGHM Group</t>
  </si>
  <si>
    <t>Payable silver (t)</t>
  </si>
  <si>
    <t>Copper in concentrate (kt)</t>
  </si>
  <si>
    <t>Silver in concentrate (t)</t>
  </si>
  <si>
    <t>- including from own concentrate</t>
  </si>
  <si>
    <t>*on a 55% basis</t>
  </si>
  <si>
    <t>Nov-19</t>
  </si>
  <si>
    <t>Dec-19</t>
  </si>
  <si>
    <t>Jan-20</t>
  </si>
  <si>
    <t>Apr-20</t>
  </si>
  <si>
    <t>May-20</t>
  </si>
  <si>
    <t>Jun-20</t>
  </si>
  <si>
    <t>Jul-20</t>
  </si>
  <si>
    <t>Aug-20</t>
  </si>
  <si>
    <t>Sep-20</t>
  </si>
  <si>
    <t>Oct-20</t>
  </si>
  <si>
    <t>Nov-20</t>
  </si>
  <si>
    <t>Dec-20</t>
  </si>
  <si>
    <t>Jan-21</t>
  </si>
  <si>
    <t>Feb-21</t>
  </si>
  <si>
    <t>Apr-21</t>
  </si>
  <si>
    <t>May-21</t>
  </si>
  <si>
    <t>Jun-21</t>
  </si>
  <si>
    <t>Jul-21</t>
  </si>
  <si>
    <t>Aug-21</t>
  </si>
  <si>
    <t>Sep-21</t>
  </si>
  <si>
    <t>Oct-21</t>
  </si>
  <si>
    <t>Nov-21</t>
  </si>
  <si>
    <t>Dec-21</t>
  </si>
  <si>
    <t>Jan-22</t>
  </si>
  <si>
    <t>Feb-22</t>
  </si>
  <si>
    <t>Apr-22</t>
  </si>
  <si>
    <t>May-22</t>
  </si>
  <si>
    <t>Jun-22</t>
  </si>
  <si>
    <t>Jul-22</t>
  </si>
  <si>
    <t>Aug-22</t>
  </si>
  <si>
    <t>Sep-22</t>
  </si>
  <si>
    <t>Oct-22</t>
  </si>
  <si>
    <t>Nov-22</t>
  </si>
  <si>
    <t>Dec-22</t>
  </si>
  <si>
    <t>Jan-23</t>
  </si>
  <si>
    <t>Feb-23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</si>
  <si>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</si>
  <si>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</si>
  <si>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</si>
  <si>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</si>
  <si>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</si>
  <si>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</si>
  <si>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</si>
  <si>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</si>
  <si>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</si>
  <si>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</si>
  <si>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</si>
  <si>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</si>
  <si>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</si>
  <si>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</si>
  <si>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</si>
  <si>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</si>
  <si>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</si>
  <si>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</si>
  <si>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</si>
  <si>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</si>
  <si>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</si>
  <si>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</si>
  <si>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</si>
  <si>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</si>
  <si>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</si>
  <si>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</si>
  <si>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</si>
  <si>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</si>
  <si>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</si>
  <si>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</si>
  <si>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</si>
  <si>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</si>
  <si>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</si>
  <si>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</si>
  <si>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</si>
  <si>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</si>
  <si>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</si>
  <si>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May-26</t>
  </si>
  <si>
    <t>Jun-26</t>
  </si>
  <si>
    <t>SALES VOLUME OF BASIC GROUP PRODUCTS</t>
  </si>
  <si>
    <t>Cathodes and cathode parts (kt)</t>
  </si>
  <si>
    <t>Copper wire rod and OFE rod (kt)***</t>
  </si>
  <si>
    <t>Payable copper in concentrate (kt)</t>
  </si>
  <si>
    <t>Other copper products (kt)***</t>
  </si>
  <si>
    <t>Total copper and copper products (kt)</t>
  </si>
  <si>
    <t>Payable silver in concentrate (t)</t>
  </si>
  <si>
    <t>Metallic gold (kg)</t>
  </si>
  <si>
    <t>* copper in the form of copper cathodes, payable copper in concentrate, payable copper in ore</t>
  </si>
  <si>
    <t>*** starting with their publication from March 2021, the volume of sales of ETP/OFE grains has been transferred from the item „Copper wire rod and OFE rod” to the item „Other copper products” (change in respect of 2019 and 2020 only)</t>
  </si>
  <si>
    <t>Change                            (2020 to 2019)</t>
  </si>
  <si>
    <t>Change                           (2021 to 2020)</t>
  </si>
  <si>
    <t>Change                            (2022 to 2021)</t>
  </si>
  <si>
    <t>Monthly preliminary sales of the KGHM Polska Miedź S.A. Group (pursuant to published production-sales reports)</t>
  </si>
  <si>
    <t>Copper (kt)</t>
  </si>
  <si>
    <t>Impairment losses on non-current assets</t>
  </si>
  <si>
    <t>Share in the profit or loss of joint ventures accounted for using the equity method</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</si>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</sst>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0\)"/>
    <numFmt numFmtId="165" formatCode="#,##0.0"/>
    <numFmt numFmtId="166" formatCode="#,##0;\(#,##0\);\-"/>
    <numFmt numFmtId="167" formatCode="#\ ##0;\(#\ ##0\);\-"/>
    <numFmt numFmtId="168" formatCode="0.0"/>
    <numFmt numFmtId="169" formatCode="0.0%"/>
    <numFmt numFmtId="170" formatCode="#.##;\(#.##\);\-"/>
    <numFmt numFmtId="171" formatCode="#,##0.0;\(#,##0.0\);\-"/>
    <numFmt numFmtId="172" formatCode="0.000"/>
    <numFmt numFmtId="173" formatCode="0%;\(0%\)"/>
    <numFmt numFmtId="174" formatCode="[$-409]mmm/yy;@"/>
  </numFmts>
  <fonts count="99">
    <font>
      <sz val="10"/>
      <name val="Arial"/>
    </font>
    <font>
      <sz val="10"/>
      <name val="Arial"/>
      <family val="2"/>
      <charset val="238"/>
    </font>
    <font>
      <sz val="10"/>
      <color indexed="8"/>
      <name val="Arial"/>
      <family val="2"/>
    </font>
    <font>
      <sz val="10"/>
      <color indexed="9"/>
      <name val="Arial"/>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charset val="238"/>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b/>
      <sz val="18"/>
      <color indexed="62"/>
      <name val="Cambria"/>
      <family val="2"/>
    </font>
    <font>
      <sz val="11"/>
      <color indexed="10"/>
      <name val="Calibri"/>
      <family val="2"/>
    </font>
    <font>
      <sz val="7"/>
      <name val="Open Sans"/>
      <family val="2"/>
      <charset val="238"/>
    </font>
    <font>
      <b/>
      <sz val="7"/>
      <name val="Open Sans"/>
      <family val="2"/>
      <charset val="238"/>
    </font>
    <font>
      <sz val="10"/>
      <name val="Open Sans"/>
      <family val="2"/>
      <charset val="238"/>
    </font>
    <font>
      <sz val="7"/>
      <color indexed="21"/>
      <name val="Open Sans"/>
      <family val="2"/>
      <charset val="238"/>
    </font>
    <font>
      <sz val="8"/>
      <name val="Open Sans"/>
      <family val="2"/>
      <charset val="238"/>
    </font>
    <font>
      <b/>
      <sz val="10"/>
      <name val="Arial"/>
      <family val="2"/>
      <charset val="238"/>
    </font>
    <font>
      <b/>
      <sz val="8"/>
      <name val="Open Sans"/>
      <family val="2"/>
      <charset val="238"/>
    </font>
    <font>
      <b/>
      <sz val="10"/>
      <name val="Open Sans"/>
      <family val="2"/>
      <charset val="238"/>
    </font>
    <font>
      <sz val="8"/>
      <name val="Times New Roman"/>
      <family val="1"/>
      <charset val="238"/>
    </font>
    <font>
      <i/>
      <sz val="8"/>
      <name val="Open Sans"/>
      <family val="2"/>
      <charset val="238"/>
    </font>
    <font>
      <b/>
      <sz val="11"/>
      <name val="Verdana"/>
      <family val="2"/>
      <charset val="238"/>
    </font>
    <font>
      <b/>
      <sz val="11"/>
      <name val="Open Sans"/>
      <family val="2"/>
      <charset val="238"/>
    </font>
    <font>
      <b/>
      <sz val="11"/>
      <color indexed="10"/>
      <name val="Open Sans"/>
      <family val="2"/>
      <charset val="238"/>
    </font>
    <font>
      <b/>
      <sz val="16"/>
      <name val="Open Sans"/>
      <family val="2"/>
      <charset val="238"/>
    </font>
    <font>
      <b/>
      <sz val="16"/>
      <color indexed="21"/>
      <name val="Open Sans"/>
      <family val="2"/>
      <charset val="238"/>
    </font>
    <font>
      <b/>
      <sz val="24"/>
      <color indexed="21"/>
      <name val="Open Sans"/>
      <family val="2"/>
      <charset val="238"/>
    </font>
    <font>
      <sz val="10"/>
      <name val="Arial CE"/>
      <charset val="238"/>
    </font>
    <font>
      <sz val="10"/>
      <name val="Arial"/>
      <family val="2"/>
      <charset val="238"/>
    </font>
    <font>
      <sz val="8"/>
      <name val="Arial"/>
      <family val="2"/>
      <charset val="238"/>
    </font>
    <font>
      <sz val="8"/>
      <name val="Open Sans"/>
      <family val="2"/>
    </font>
    <font>
      <sz val="10"/>
      <name val="Arial"/>
      <family val="2"/>
      <charset val="238"/>
    </font>
    <font>
      <i/>
      <sz val="6"/>
      <name val="Arial"/>
      <family val="2"/>
      <charset val="238"/>
    </font>
    <font>
      <b/>
      <sz val="7"/>
      <name val="Open Sans"/>
      <family val="2"/>
      <charset val="238"/>
    </font>
    <font>
      <sz val="6"/>
      <name val="Open Sans"/>
      <family val="2"/>
      <charset val="238"/>
    </font>
    <font>
      <b/>
      <sz val="7"/>
      <name val="Open Sans"/>
      <family val="2"/>
      <charset val="238"/>
    </font>
    <font>
      <sz val="11"/>
      <color theme="1"/>
      <name val="Calibri"/>
      <family val="2"/>
      <charset val="238"/>
      <scheme val="minor"/>
    </font>
    <font>
      <sz val="11"/>
      <color theme="1"/>
      <name val="Czcionka tekstu podstawowego"/>
      <family val="2"/>
      <charset val="238"/>
    </font>
    <font>
      <b/>
      <sz val="11"/>
      <color theme="1"/>
      <name val="Calibri"/>
      <family val="2"/>
      <scheme val="minor"/>
    </font>
    <font>
      <sz val="10"/>
      <color theme="0"/>
      <name val="Arial"/>
      <family val="2"/>
      <charset val="238"/>
    </font>
    <font>
      <sz val="7"/>
      <color rgb="FF000000"/>
      <name val="Open Sans"/>
      <family val="2"/>
      <charset val="238"/>
    </font>
    <font>
      <b/>
      <sz val="7"/>
      <color theme="1"/>
      <name val="Open Sans"/>
      <family val="2"/>
      <charset val="238"/>
    </font>
    <font>
      <b/>
      <sz val="7"/>
      <color rgb="FF000000"/>
      <name val="Open Sans"/>
      <family val="2"/>
      <charset val="238"/>
    </font>
    <font>
      <sz val="7"/>
      <color rgb="FF993300"/>
      <name val="Open Sans"/>
      <family val="2"/>
      <charset val="238"/>
    </font>
    <font>
      <b/>
      <sz val="7"/>
      <color rgb="FF00A082"/>
      <name val="Open Sans"/>
      <family val="2"/>
      <charset val="238"/>
    </font>
    <font>
      <b/>
      <sz val="8"/>
      <color theme="1" tint="0.14999847407452621"/>
      <name val="Open Sans"/>
      <family val="2"/>
      <charset val="238"/>
    </font>
    <font>
      <b/>
      <sz val="8"/>
      <color rgb="FF00A082"/>
      <name val="Open Sans"/>
      <family val="2"/>
      <charset val="238"/>
    </font>
    <font>
      <sz val="8"/>
      <color theme="1" tint="0.14999847407452621"/>
      <name val="Open Sans"/>
      <family val="2"/>
      <charset val="238"/>
    </font>
    <font>
      <sz val="8"/>
      <color rgb="FF00A082"/>
      <name val="Open Sans"/>
      <family val="2"/>
      <charset val="238"/>
    </font>
    <font>
      <b/>
      <sz val="8"/>
      <color theme="1"/>
      <name val="Open Sans"/>
      <family val="2"/>
      <charset val="238"/>
    </font>
    <font>
      <sz val="8"/>
      <color theme="0"/>
      <name val="Open Sans"/>
      <family val="2"/>
      <charset val="238"/>
    </font>
    <font>
      <i/>
      <sz val="8"/>
      <color theme="1" tint="0.14999847407452621"/>
      <name val="Open Sans"/>
      <family val="2"/>
      <charset val="238"/>
    </font>
    <font>
      <sz val="7"/>
      <color theme="1"/>
      <name val="Open Sans"/>
      <family val="2"/>
      <charset val="238"/>
    </font>
    <font>
      <sz val="8"/>
      <color theme="1"/>
      <name val="Open Sans"/>
      <family val="2"/>
      <charset val="238"/>
    </font>
    <font>
      <b/>
      <sz val="10"/>
      <color rgb="FF404040"/>
      <name val="Open Sans"/>
      <family val="2"/>
      <charset val="238"/>
    </font>
    <font>
      <sz val="10"/>
      <color theme="1" tint="0.14999847407452621"/>
      <name val="Open Sans"/>
      <family val="2"/>
      <charset val="238"/>
    </font>
    <font>
      <sz val="8"/>
      <color theme="0" tint="-0.249977111117893"/>
      <name val="Open Sans"/>
      <family val="2"/>
      <charset val="238"/>
    </font>
    <font>
      <sz val="8"/>
      <color rgb="FFFF0000"/>
      <name val="Open Sans"/>
      <family val="2"/>
      <charset val="238"/>
    </font>
    <font>
      <sz val="7"/>
      <color theme="0"/>
      <name val="Open Sans"/>
      <family val="2"/>
      <charset val="238"/>
    </font>
    <font>
      <b/>
      <sz val="7"/>
      <color theme="0"/>
      <name val="Open Sans"/>
      <family val="2"/>
      <charset val="238"/>
    </font>
    <font>
      <sz val="11"/>
      <color theme="1"/>
      <name val="Calibri"/>
      <family val="2"/>
      <scheme val="minor"/>
    </font>
    <font>
      <b/>
      <sz val="7"/>
      <color rgb="FF993300"/>
      <name val="Open Sans"/>
      <family val="2"/>
      <charset val="238"/>
    </font>
    <font>
      <sz val="7"/>
      <color rgb="FF00A082"/>
      <name val="Open Sans"/>
      <family val="2"/>
      <charset val="238"/>
    </font>
    <font>
      <b/>
      <u/>
      <sz val="7"/>
      <color rgb="FF00A082"/>
      <name val="Open Sans"/>
      <family val="2"/>
      <charset val="238"/>
    </font>
    <font>
      <i/>
      <sz val="6"/>
      <color rgb="FFFF0000"/>
      <name val="Arial"/>
      <family val="2"/>
      <charset val="238"/>
    </font>
    <font>
      <sz val="6"/>
      <color theme="1"/>
      <name val="Open Sans"/>
      <family val="2"/>
      <charset val="238"/>
    </font>
    <font>
      <b/>
      <sz val="6"/>
      <color theme="1"/>
      <name val="Open Sans"/>
      <family val="2"/>
      <charset val="238"/>
    </font>
    <font>
      <b/>
      <sz val="2"/>
      <color theme="1"/>
      <name val="Open Sans"/>
      <family val="2"/>
      <charset val="238"/>
    </font>
    <font>
      <b/>
      <sz val="8"/>
      <color rgb="FFFF0000"/>
      <name val="Open Sans"/>
      <family val="2"/>
      <charset val="238"/>
    </font>
    <font>
      <b/>
      <sz val="18"/>
      <color rgb="FF00A082"/>
      <name val="Open Sans"/>
      <family val="2"/>
      <charset val="238"/>
    </font>
    <font>
      <b/>
      <sz val="18"/>
      <color rgb="FF004F92"/>
      <name val="Verdana"/>
      <family val="2"/>
      <charset val="238"/>
    </font>
    <font>
      <b/>
      <i/>
      <sz val="11"/>
      <name val="Open Sans"/>
      <family val="2"/>
      <charset val="238"/>
    </font>
    <font>
      <sz val="7"/>
      <color indexed="8"/>
      <name val="Open Sans"/>
      <family val="2"/>
      <charset val="238"/>
    </font>
    <font>
      <sz val="8"/>
      <color indexed="63"/>
      <name val="Open Sans"/>
      <family val="2"/>
      <charset val="238"/>
    </font>
    <font>
      <b/>
      <sz val="8"/>
      <color indexed="63"/>
      <name val="Open Sans"/>
      <family val="2"/>
      <charset val="238"/>
    </font>
    <font>
      <b/>
      <sz val="10"/>
      <color indexed="63"/>
      <name val="Open Sans"/>
      <family val="2"/>
      <charset val="238"/>
    </font>
    <font>
      <b/>
      <sz val="9"/>
      <name val="Open Sans"/>
      <family val="2"/>
      <charset val="238"/>
    </font>
    <font>
      <sz val="7"/>
      <color rgb="FFFF0000"/>
      <name val="Open Sans"/>
      <family val="2"/>
      <charset val="238"/>
    </font>
    <font>
      <b/>
      <sz val="7"/>
      <color indexed="21"/>
      <name val="Open Sans"/>
      <family val="2"/>
      <charset val="238"/>
    </font>
    <font>
      <b/>
      <sz val="7"/>
      <color indexed="8"/>
      <name val="Open Sans"/>
      <family val="2"/>
      <charset val="238"/>
    </font>
    <font>
      <sz val="7"/>
      <color indexed="63"/>
      <name val="Open Sans"/>
      <family val="2"/>
      <charset val="238"/>
    </font>
  </fonts>
  <fills count="51">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10"/>
      </patternFill>
    </fill>
    <fill>
      <patternFill patternType="solid">
        <fgColor indexed="51"/>
      </patternFill>
    </fill>
    <fill>
      <patternFill patternType="solid">
        <fgColor indexed="9"/>
        <bgColor indexed="9"/>
      </patternFill>
    </fill>
    <fill>
      <patternFill patternType="solid">
        <fgColor indexed="50"/>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lightUp">
        <fgColor theme="0" tint="-0.24994659260841701"/>
        <bgColor indexed="65"/>
      </patternFill>
    </fill>
    <fill>
      <patternFill patternType="solid">
        <fgColor theme="0"/>
        <bgColor indexed="64"/>
      </patternFill>
    </fill>
    <fill>
      <patternFill patternType="solid">
        <fgColor theme="0" tint="-0.249977111117893"/>
        <bgColor indexed="64"/>
      </patternFill>
    </fill>
    <fill>
      <patternFill patternType="lightUp">
        <fgColor theme="0" tint="-0.24994659260841701"/>
        <bgColor rgb="FFFFFFFF"/>
      </patternFill>
    </fill>
    <fill>
      <patternFill patternType="lightUp">
        <fgColor theme="0" tint="-0.24994659260841701"/>
        <bgColor theme="0"/>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499984740745262"/>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499984740745262"/>
      </top>
      <bottom style="thin">
        <color theme="0" tint="-0.499984740745262"/>
      </bottom>
      <diagonal/>
    </border>
    <border>
      <left style="thin">
        <color theme="0" tint="-0.34998626667073579"/>
      </left>
      <right/>
      <top style="thin">
        <color theme="0" tint="-0.34998626667073579"/>
      </top>
      <bottom style="thin">
        <color theme="0"/>
      </bottom>
      <diagonal/>
    </border>
    <border>
      <left style="thin">
        <color theme="0" tint="-0.34998626667073579"/>
      </left>
      <right/>
      <top style="thin">
        <color theme="0" tint="-0.34998626667073579"/>
      </top>
      <bottom/>
      <diagonal/>
    </border>
    <border>
      <left/>
      <right style="thin">
        <color theme="0" tint="-0.24994659260841701"/>
      </right>
      <top/>
      <bottom/>
      <diagonal/>
    </border>
    <border>
      <left style="thin">
        <color theme="0" tint="-0.34998626667073579"/>
      </left>
      <right/>
      <top/>
      <bottom/>
      <diagonal/>
    </border>
    <border>
      <left style="thin">
        <color theme="0" tint="-0.34998626667073579"/>
      </left>
      <right/>
      <top style="thin">
        <color indexed="64"/>
      </top>
      <bottom style="thin">
        <color theme="0" tint="-0.34998626667073579"/>
      </bottom>
      <diagonal/>
    </border>
    <border>
      <left/>
      <right/>
      <top style="thin">
        <color indexed="55"/>
      </top>
      <bottom style="thin">
        <color indexed="55"/>
      </bottom>
      <diagonal/>
    </border>
    <border>
      <left/>
      <right/>
      <top style="thin">
        <color rgb="FF969696"/>
      </top>
      <bottom style="thin">
        <color rgb="FF969696"/>
      </bottom>
      <diagonal/>
    </border>
    <border>
      <left/>
      <right/>
      <top/>
      <bottom style="thin">
        <color indexed="55"/>
      </bottom>
      <diagonal/>
    </border>
    <border>
      <left/>
      <right/>
      <top/>
      <bottom style="thin">
        <color indexed="23"/>
      </bottom>
      <diagonal/>
    </border>
    <border>
      <left/>
      <right/>
      <top style="thin">
        <color indexed="23"/>
      </top>
      <bottom style="thin">
        <color indexed="23"/>
      </bottom>
      <diagonal/>
    </border>
    <border>
      <left/>
      <right/>
      <top style="thin">
        <color indexed="55"/>
      </top>
      <bottom/>
      <diagonal/>
    </border>
    <border>
      <left style="thin">
        <color indexed="55"/>
      </left>
      <right/>
      <top style="thin">
        <color indexed="55"/>
      </top>
      <bottom style="thin">
        <color indexed="55"/>
      </bottom>
      <diagonal/>
    </border>
  </borders>
  <cellStyleXfs count="13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 fillId="22"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5" fillId="18" borderId="0" applyNumberFormat="0" applyBorder="0" applyAlignment="0" applyProtection="0"/>
    <xf numFmtId="0" fontId="4" fillId="27" borderId="0" applyNumberFormat="0" applyBorder="0" applyAlignment="0" applyProtection="0"/>
    <xf numFmtId="0" fontId="4" fillId="25" borderId="0" applyNumberFormat="0" applyBorder="0" applyAlignment="0" applyProtection="0"/>
    <xf numFmtId="0" fontId="6" fillId="18" borderId="0" applyNumberFormat="0" applyBorder="0" applyAlignment="0" applyProtection="0"/>
    <xf numFmtId="0" fontId="7" fillId="30" borderId="1" applyNumberFormat="0" applyAlignment="0" applyProtection="0"/>
    <xf numFmtId="0" fontId="8" fillId="19" borderId="2" applyNumberFormat="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1" fillId="0" borderId="0" applyNumberFormat="0" applyFill="0" applyBorder="0" applyAlignment="0" applyProtection="0"/>
    <xf numFmtId="0" fontId="12" fillId="35"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7" borderId="1" applyNumberFormat="0" applyAlignment="0" applyProtection="0"/>
    <xf numFmtId="0" fontId="17" fillId="0" borderId="7" applyNumberFormat="0" applyFill="0" applyAlignment="0" applyProtection="0"/>
    <xf numFmtId="0" fontId="18" fillId="27" borderId="0" applyNumberFormat="0" applyBorder="0" applyAlignment="0" applyProtection="0"/>
    <xf numFmtId="0" fontId="9" fillId="0" borderId="0"/>
    <xf numFmtId="0" fontId="54" fillId="0" borderId="0"/>
    <xf numFmtId="0" fontId="54" fillId="0" borderId="0"/>
    <xf numFmtId="0" fontId="9" fillId="0" borderId="0"/>
    <xf numFmtId="0" fontId="1" fillId="0" borderId="0"/>
    <xf numFmtId="0" fontId="9" fillId="0" borderId="0"/>
    <xf numFmtId="0" fontId="55" fillId="0" borderId="0"/>
    <xf numFmtId="0" fontId="45" fillId="0" borderId="0"/>
    <xf numFmtId="0" fontId="46" fillId="0" borderId="0"/>
    <xf numFmtId="0" fontId="9" fillId="0" borderId="0"/>
    <xf numFmtId="0" fontId="49" fillId="0" borderId="0"/>
    <xf numFmtId="0" fontId="9" fillId="0" borderId="0"/>
    <xf numFmtId="0" fontId="9" fillId="0" borderId="0"/>
    <xf numFmtId="0" fontId="9" fillId="26" borderId="8" applyNumberFormat="0" applyFont="0" applyAlignment="0" applyProtection="0"/>
    <xf numFmtId="0" fontId="19" fillId="30" borderId="3" applyNumberFormat="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4" fontId="20" fillId="36" borderId="9" applyNumberFormat="0" applyProtection="0">
      <alignment vertical="center"/>
    </xf>
    <xf numFmtId="4" fontId="21" fillId="36" borderId="9" applyNumberFormat="0" applyProtection="0">
      <alignment vertical="center"/>
    </xf>
    <xf numFmtId="4" fontId="20" fillId="36" borderId="9" applyNumberFormat="0" applyProtection="0">
      <alignment horizontal="left" vertical="center" indent="1"/>
    </xf>
    <xf numFmtId="0" fontId="20" fillId="36" borderId="9" applyNumberFormat="0" applyProtection="0">
      <alignment horizontal="left" vertical="top" indent="1"/>
    </xf>
    <xf numFmtId="4" fontId="20" fillId="2" borderId="0" applyNumberFormat="0" applyProtection="0">
      <alignment horizontal="left" vertical="center" indent="1"/>
    </xf>
    <xf numFmtId="4" fontId="2" fillId="7" borderId="9" applyNumberFormat="0" applyProtection="0">
      <alignment horizontal="right" vertical="center"/>
    </xf>
    <xf numFmtId="4" fontId="2" fillId="3" borderId="9" applyNumberFormat="0" applyProtection="0">
      <alignment horizontal="right" vertical="center"/>
    </xf>
    <xf numFmtId="4" fontId="2" fillId="28" borderId="9" applyNumberFormat="0" applyProtection="0">
      <alignment horizontal="right" vertical="center"/>
    </xf>
    <xf numFmtId="4" fontId="2" fillId="29" borderId="9" applyNumberFormat="0" applyProtection="0">
      <alignment horizontal="right" vertical="center"/>
    </xf>
    <xf numFmtId="4" fontId="2" fillId="37" borderId="9" applyNumberFormat="0" applyProtection="0">
      <alignment horizontal="right" vertical="center"/>
    </xf>
    <xf numFmtId="4" fontId="2" fillId="38" borderId="9" applyNumberFormat="0" applyProtection="0">
      <alignment horizontal="right" vertical="center"/>
    </xf>
    <xf numFmtId="4" fontId="2" fillId="9" borderId="9" applyNumberFormat="0" applyProtection="0">
      <alignment horizontal="right" vertical="center"/>
    </xf>
    <xf numFmtId="4" fontId="2" fillId="31" borderId="9" applyNumberFormat="0" applyProtection="0">
      <alignment horizontal="right" vertical="center"/>
    </xf>
    <xf numFmtId="4" fontId="2" fillId="39" borderId="9" applyNumberFormat="0" applyProtection="0">
      <alignment horizontal="right" vertical="center"/>
    </xf>
    <xf numFmtId="4" fontId="20" fillId="40" borderId="10" applyNumberFormat="0" applyProtection="0">
      <alignment horizontal="left" vertical="center" indent="1"/>
    </xf>
    <xf numFmtId="4" fontId="2" fillId="41" borderId="0" applyNumberFormat="0" applyProtection="0">
      <alignment horizontal="left" vertical="center" indent="1"/>
    </xf>
    <xf numFmtId="4" fontId="22" fillId="8" borderId="0" applyNumberFormat="0" applyProtection="0">
      <alignment horizontal="left" vertical="center" indent="1"/>
    </xf>
    <xf numFmtId="4" fontId="2" fillId="2" borderId="9" applyNumberFormat="0" applyProtection="0">
      <alignment horizontal="right" vertical="center"/>
    </xf>
    <xf numFmtId="4" fontId="23" fillId="41" borderId="0" applyNumberFormat="0" applyProtection="0">
      <alignment horizontal="left" vertical="center" indent="1"/>
    </xf>
    <xf numFmtId="4" fontId="23" fillId="2" borderId="0" applyNumberFormat="0" applyProtection="0">
      <alignment horizontal="left" vertical="center" indent="1"/>
    </xf>
    <xf numFmtId="0" fontId="9" fillId="8" borderId="9" applyNumberFormat="0" applyProtection="0">
      <alignment horizontal="left" vertical="center" indent="1"/>
    </xf>
    <xf numFmtId="0" fontId="9" fillId="8" borderId="9" applyNumberFormat="0" applyProtection="0">
      <alignment horizontal="left" vertical="top" indent="1"/>
    </xf>
    <xf numFmtId="0" fontId="9" fillId="2" borderId="9" applyNumberFormat="0" applyProtection="0">
      <alignment horizontal="left" vertical="center" indent="1"/>
    </xf>
    <xf numFmtId="0" fontId="9" fillId="2" borderId="9" applyNumberFormat="0" applyProtection="0">
      <alignment horizontal="left" vertical="top" indent="1"/>
    </xf>
    <xf numFmtId="0" fontId="9" fillId="6" borderId="9" applyNumberFormat="0" applyProtection="0">
      <alignment horizontal="left" vertical="center" indent="1"/>
    </xf>
    <xf numFmtId="0" fontId="9" fillId="6" borderId="9" applyNumberFormat="0" applyProtection="0">
      <alignment horizontal="left" vertical="top" indent="1"/>
    </xf>
    <xf numFmtId="0" fontId="9" fillId="41" borderId="9" applyNumberFormat="0" applyProtection="0">
      <alignment horizontal="left" vertical="center" indent="1"/>
    </xf>
    <xf numFmtId="0" fontId="9" fillId="41" borderId="9" applyNumberFormat="0" applyProtection="0">
      <alignment horizontal="left" vertical="top" indent="1"/>
    </xf>
    <xf numFmtId="0" fontId="9" fillId="5" borderId="11" applyNumberFormat="0">
      <protection locked="0"/>
    </xf>
    <xf numFmtId="4" fontId="2" fillId="4" borderId="9" applyNumberFormat="0" applyProtection="0">
      <alignment vertical="center"/>
    </xf>
    <xf numFmtId="4" fontId="24" fillId="4" borderId="9" applyNumberFormat="0" applyProtection="0">
      <alignment vertical="center"/>
    </xf>
    <xf numFmtId="4" fontId="2" fillId="4" borderId="9" applyNumberFormat="0" applyProtection="0">
      <alignment horizontal="left" vertical="center" indent="1"/>
    </xf>
    <xf numFmtId="0" fontId="2" fillId="4" borderId="9" applyNumberFormat="0" applyProtection="0">
      <alignment horizontal="left" vertical="top" indent="1"/>
    </xf>
    <xf numFmtId="4" fontId="2" fillId="41" borderId="9" applyNumberFormat="0" applyProtection="0">
      <alignment horizontal="right" vertical="center"/>
    </xf>
    <xf numFmtId="4" fontId="24" fillId="41" borderId="9" applyNumberFormat="0" applyProtection="0">
      <alignment horizontal="right" vertical="center"/>
    </xf>
    <xf numFmtId="4" fontId="2" fillId="2" borderId="9" applyNumberFormat="0" applyProtection="0">
      <alignment horizontal="left" vertical="center" indent="1"/>
    </xf>
    <xf numFmtId="0" fontId="2" fillId="2" borderId="9" applyNumberFormat="0" applyProtection="0">
      <alignment horizontal="left" vertical="top" indent="1"/>
    </xf>
    <xf numFmtId="4" fontId="25" fillId="42" borderId="0" applyNumberFormat="0" applyProtection="0">
      <alignment horizontal="left" vertical="center" indent="1"/>
    </xf>
    <xf numFmtId="4" fontId="26" fillId="41" borderId="9" applyNumberFormat="0" applyProtection="0">
      <alignment horizontal="right" vertical="center"/>
    </xf>
    <xf numFmtId="0" fontId="27" fillId="0" borderId="0" applyNumberFormat="0" applyFill="0" applyBorder="0" applyAlignment="0" applyProtection="0"/>
    <xf numFmtId="0" fontId="27" fillId="0" borderId="0" applyNumberFormat="0" applyFill="0" applyBorder="0" applyAlignment="0" applyProtection="0"/>
    <xf numFmtId="0" fontId="10" fillId="0" borderId="12" applyNumberFormat="0" applyFill="0" applyAlignment="0" applyProtection="0"/>
    <xf numFmtId="0" fontId="28" fillId="0" borderId="0" applyNumberFormat="0" applyFill="0" applyBorder="0" applyAlignment="0" applyProtection="0"/>
  </cellStyleXfs>
  <cellXfs count="580">
    <xf numFmtId="0" fontId="0" fillId="0" borderId="0" xfId="0"/>
    <xf numFmtId="167" fontId="30" fillId="0" borderId="0" xfId="64" applyNumberFormat="1" applyFont="1" applyAlignment="1">
      <alignment vertical="center"/>
    </xf>
    <xf numFmtId="0" fontId="29" fillId="0" borderId="0" xfId="64" applyFont="1" applyAlignment="1">
      <alignment horizontal="left" vertical="center" indent="2"/>
    </xf>
    <xf numFmtId="0" fontId="29" fillId="0" borderId="0" xfId="64" applyFont="1" applyAlignment="1">
      <alignment horizontal="left" vertical="center" wrapText="1" indent="2"/>
    </xf>
    <xf numFmtId="167" fontId="29" fillId="0" borderId="0" xfId="64" applyNumberFormat="1" applyFont="1" applyAlignment="1">
      <alignment vertical="center"/>
    </xf>
    <xf numFmtId="0" fontId="31" fillId="0" borderId="0" xfId="64" applyFont="1"/>
    <xf numFmtId="9" fontId="30" fillId="0" borderId="17" xfId="80" applyFont="1" applyFill="1" applyBorder="1" applyAlignment="1">
      <alignment horizontal="right" vertical="center" indent="1"/>
    </xf>
    <xf numFmtId="9" fontId="29" fillId="0" borderId="17" xfId="80" applyFont="1" applyFill="1" applyBorder="1" applyAlignment="1">
      <alignment horizontal="right" vertical="center" indent="1"/>
    </xf>
    <xf numFmtId="9" fontId="29" fillId="0" borderId="18" xfId="80" applyFont="1" applyFill="1" applyBorder="1" applyAlignment="1">
      <alignment horizontal="right" vertical="center" indent="1"/>
    </xf>
    <xf numFmtId="9" fontId="29" fillId="0" borderId="19" xfId="80" applyFont="1" applyFill="1" applyBorder="1" applyAlignment="1"/>
    <xf numFmtId="9" fontId="30" fillId="0" borderId="20" xfId="80" applyFont="1" applyFill="1" applyBorder="1" applyAlignment="1">
      <alignment horizontal="right" vertical="center" indent="1"/>
    </xf>
    <xf numFmtId="9" fontId="29" fillId="0" borderId="20" xfId="80" applyFont="1" applyFill="1" applyBorder="1" applyAlignment="1">
      <alignment horizontal="right" vertical="center" indent="1"/>
    </xf>
    <xf numFmtId="9" fontId="30" fillId="0" borderId="19" xfId="80" applyFont="1" applyFill="1" applyBorder="1" applyAlignment="1">
      <alignment vertical="center" wrapText="1"/>
    </xf>
    <xf numFmtId="167" fontId="33" fillId="43" borderId="21" xfId="64" applyNumberFormat="1" applyFont="1" applyFill="1" applyBorder="1" applyAlignment="1">
      <alignment horizontal="right" vertical="center" indent="1"/>
    </xf>
    <xf numFmtId="167" fontId="30" fillId="0" borderId="0" xfId="64" applyNumberFormat="1" applyFont="1" applyAlignment="1">
      <alignment horizontal="right" vertical="center" indent="1"/>
    </xf>
    <xf numFmtId="0" fontId="9" fillId="0" borderId="0" xfId="64"/>
    <xf numFmtId="3" fontId="30" fillId="0" borderId="0" xfId="64" applyNumberFormat="1" applyFont="1" applyAlignment="1">
      <alignment vertical="center"/>
    </xf>
    <xf numFmtId="3" fontId="29" fillId="0" borderId="0" xfId="64" applyNumberFormat="1" applyFont="1" applyAlignment="1">
      <alignment horizontal="right" vertical="center"/>
    </xf>
    <xf numFmtId="0" fontId="56" fillId="0" borderId="0" xfId="64" applyFont="1"/>
    <xf numFmtId="0" fontId="57" fillId="0" borderId="0" xfId="64" applyFont="1"/>
    <xf numFmtId="3" fontId="58" fillId="0" borderId="23" xfId="64" applyNumberFormat="1" applyFont="1" applyBorder="1" applyAlignment="1">
      <alignment horizontal="right" vertical="center" indent="1"/>
    </xf>
    <xf numFmtId="3" fontId="58" fillId="0" borderId="22" xfId="64" applyNumberFormat="1" applyFont="1" applyBorder="1" applyAlignment="1">
      <alignment horizontal="right" vertical="center" indent="1"/>
    </xf>
    <xf numFmtId="4" fontId="58" fillId="0" borderId="20" xfId="64" applyNumberFormat="1" applyFont="1" applyBorder="1" applyAlignment="1">
      <alignment horizontal="right" vertical="center" indent="1"/>
    </xf>
    <xf numFmtId="4" fontId="58" fillId="0" borderId="17" xfId="64" applyNumberFormat="1" applyFont="1" applyBorder="1" applyAlignment="1">
      <alignment horizontal="right" vertical="center" indent="1"/>
    </xf>
    <xf numFmtId="4" fontId="58" fillId="44" borderId="17" xfId="64" applyNumberFormat="1" applyFont="1" applyFill="1" applyBorder="1" applyAlignment="1">
      <alignment horizontal="right" vertical="center" indent="1"/>
    </xf>
    <xf numFmtId="167" fontId="29" fillId="44" borderId="20" xfId="64" quotePrefix="1" applyNumberFormat="1" applyFont="1" applyFill="1" applyBorder="1" applyAlignment="1">
      <alignment horizontal="right" vertical="center" indent="1"/>
    </xf>
    <xf numFmtId="167" fontId="29" fillId="44" borderId="17" xfId="64" quotePrefix="1" applyNumberFormat="1" applyFont="1" applyFill="1" applyBorder="1" applyAlignment="1">
      <alignment horizontal="right" vertical="center" indent="1"/>
    </xf>
    <xf numFmtId="0" fontId="59" fillId="0" borderId="22" xfId="64" applyFont="1" applyBorder="1" applyAlignment="1">
      <alignment horizontal="center"/>
    </xf>
    <xf numFmtId="167" fontId="58" fillId="0" borderId="20" xfId="64" applyNumberFormat="1" applyFont="1" applyBorder="1" applyAlignment="1">
      <alignment horizontal="right" vertical="center" indent="1"/>
    </xf>
    <xf numFmtId="167" fontId="58" fillId="0" borderId="17" xfId="64" applyNumberFormat="1" applyFont="1" applyBorder="1" applyAlignment="1">
      <alignment horizontal="right" vertical="center" indent="1"/>
    </xf>
    <xf numFmtId="167" fontId="58" fillId="44" borderId="20" xfId="64" applyNumberFormat="1" applyFont="1" applyFill="1" applyBorder="1" applyAlignment="1">
      <alignment horizontal="right" vertical="center" indent="1"/>
    </xf>
    <xf numFmtId="167" fontId="58" fillId="44" borderId="17" xfId="64" applyNumberFormat="1" applyFont="1" applyFill="1" applyBorder="1" applyAlignment="1">
      <alignment horizontal="right" vertical="center" indent="1"/>
    </xf>
    <xf numFmtId="167" fontId="60" fillId="0" borderId="20" xfId="64" applyNumberFormat="1" applyFont="1" applyBorder="1" applyAlignment="1">
      <alignment horizontal="right" vertical="center" indent="1"/>
    </xf>
    <xf numFmtId="167" fontId="60" fillId="0" borderId="17" xfId="64" applyNumberFormat="1" applyFont="1" applyBorder="1" applyAlignment="1">
      <alignment horizontal="right" vertical="center" indent="1"/>
    </xf>
    <xf numFmtId="167" fontId="58" fillId="0" borderId="17" xfId="64" applyNumberFormat="1" applyFont="1" applyBorder="1" applyAlignment="1">
      <alignment horizontal="right" vertical="center" wrapText="1" indent="1"/>
    </xf>
    <xf numFmtId="3" fontId="29" fillId="44" borderId="17" xfId="64" applyNumberFormat="1" applyFont="1" applyFill="1" applyBorder="1" applyAlignment="1">
      <alignment horizontal="right" vertical="center" indent="1"/>
    </xf>
    <xf numFmtId="4" fontId="29" fillId="44" borderId="17" xfId="64" applyNumberFormat="1" applyFont="1" applyFill="1" applyBorder="1" applyAlignment="1">
      <alignment horizontal="right" vertical="center" indent="1"/>
    </xf>
    <xf numFmtId="164" fontId="30" fillId="44" borderId="17" xfId="64" applyNumberFormat="1" applyFont="1" applyFill="1" applyBorder="1" applyAlignment="1">
      <alignment horizontal="right" vertical="center" indent="1"/>
    </xf>
    <xf numFmtId="9" fontId="30" fillId="44" borderId="17" xfId="80" applyFont="1" applyFill="1" applyBorder="1" applyAlignment="1">
      <alignment horizontal="right" vertical="center" indent="1"/>
    </xf>
    <xf numFmtId="9" fontId="29" fillId="44" borderId="17" xfId="80" applyFont="1" applyFill="1" applyBorder="1" applyAlignment="1">
      <alignment horizontal="right" vertical="center" indent="1"/>
    </xf>
    <xf numFmtId="3" fontId="29" fillId="44" borderId="22" xfId="64" applyNumberFormat="1" applyFont="1" applyFill="1" applyBorder="1" applyAlignment="1">
      <alignment horizontal="right" vertical="center" indent="1"/>
    </xf>
    <xf numFmtId="2" fontId="30" fillId="44" borderId="17" xfId="64" applyNumberFormat="1" applyFont="1" applyFill="1" applyBorder="1" applyAlignment="1">
      <alignment horizontal="right" vertical="center" indent="1"/>
    </xf>
    <xf numFmtId="0" fontId="30" fillId="44" borderId="18" xfId="64" applyFont="1" applyFill="1" applyBorder="1" applyAlignment="1">
      <alignment horizontal="center"/>
    </xf>
    <xf numFmtId="0" fontId="30" fillId="44" borderId="22" xfId="64" applyFont="1" applyFill="1" applyBorder="1" applyAlignment="1">
      <alignment horizontal="center" wrapText="1"/>
    </xf>
    <xf numFmtId="4" fontId="29" fillId="44" borderId="17" xfId="64" applyNumberFormat="1" applyFont="1" applyFill="1" applyBorder="1" applyAlignment="1">
      <alignment horizontal="right"/>
    </xf>
    <xf numFmtId="2" fontId="29" fillId="44" borderId="17" xfId="64" applyNumberFormat="1" applyFont="1" applyFill="1" applyBorder="1" applyAlignment="1">
      <alignment horizontal="right" vertical="center" indent="1"/>
    </xf>
    <xf numFmtId="0" fontId="29" fillId="44" borderId="22" xfId="64" applyFont="1" applyFill="1" applyBorder="1"/>
    <xf numFmtId="4" fontId="29" fillId="44" borderId="22" xfId="64" applyNumberFormat="1" applyFont="1" applyFill="1" applyBorder="1" applyAlignment="1">
      <alignment horizontal="right" vertical="center" indent="1"/>
    </xf>
    <xf numFmtId="3" fontId="30" fillId="44" borderId="22" xfId="64" applyNumberFormat="1" applyFont="1" applyFill="1" applyBorder="1" applyAlignment="1">
      <alignment horizontal="right" vertical="center" indent="1"/>
    </xf>
    <xf numFmtId="167" fontId="29" fillId="44" borderId="19" xfId="64" applyNumberFormat="1" applyFont="1" applyFill="1" applyBorder="1" applyAlignment="1">
      <alignment horizontal="right" vertical="center" indent="1"/>
    </xf>
    <xf numFmtId="167" fontId="30" fillId="44" borderId="19" xfId="64" applyNumberFormat="1" applyFont="1" applyFill="1" applyBorder="1" applyAlignment="1">
      <alignment horizontal="right" vertical="center" indent="1"/>
    </xf>
    <xf numFmtId="0" fontId="29" fillId="44" borderId="0" xfId="64" applyFont="1" applyFill="1"/>
    <xf numFmtId="0" fontId="61" fillId="44" borderId="0" xfId="64" applyFont="1" applyFill="1"/>
    <xf numFmtId="0" fontId="62" fillId="44" borderId="22" xfId="0" applyFont="1" applyFill="1" applyBorder="1" applyAlignment="1">
      <alignment horizontal="center" vertical="center" wrapText="1"/>
    </xf>
    <xf numFmtId="0" fontId="57" fillId="44" borderId="0" xfId="64" applyFont="1" applyFill="1"/>
    <xf numFmtId="0" fontId="36" fillId="0" borderId="0" xfId="64" applyFont="1" applyAlignment="1">
      <alignment horizontal="center" wrapText="1"/>
    </xf>
    <xf numFmtId="0" fontId="63" fillId="0" borderId="0" xfId="0" applyFont="1" applyAlignment="1">
      <alignment horizontal="center" vertical="center" wrapText="1" shrinkToFit="1"/>
    </xf>
    <xf numFmtId="0" fontId="64" fillId="44" borderId="0" xfId="64" applyFont="1" applyFill="1" applyAlignment="1">
      <alignment horizontal="center" wrapText="1"/>
    </xf>
    <xf numFmtId="0" fontId="64" fillId="44" borderId="22" xfId="64" applyFont="1" applyFill="1" applyBorder="1" applyAlignment="1">
      <alignment horizontal="center" wrapText="1"/>
    </xf>
    <xf numFmtId="0" fontId="65" fillId="0" borderId="17" xfId="0" applyFont="1" applyBorder="1" applyAlignment="1">
      <alignment horizontal="right"/>
    </xf>
    <xf numFmtId="0" fontId="65" fillId="0" borderId="18" xfId="0" applyFont="1" applyBorder="1" applyAlignment="1">
      <alignment horizontal="right"/>
    </xf>
    <xf numFmtId="0" fontId="65" fillId="0" borderId="0" xfId="0" applyFont="1"/>
    <xf numFmtId="168" fontId="65" fillId="0" borderId="22" xfId="0" applyNumberFormat="1" applyFont="1" applyBorder="1" applyAlignment="1">
      <alignment horizontal="right"/>
    </xf>
    <xf numFmtId="168" fontId="65" fillId="0" borderId="0" xfId="0" applyNumberFormat="1" applyFont="1" applyAlignment="1">
      <alignment horizontal="right" wrapText="1"/>
    </xf>
    <xf numFmtId="168" fontId="65" fillId="0" borderId="20" xfId="0" applyNumberFormat="1" applyFont="1" applyBorder="1" applyAlignment="1">
      <alignment horizontal="right"/>
    </xf>
    <xf numFmtId="9" fontId="65" fillId="0" borderId="22" xfId="80" applyFont="1" applyFill="1" applyBorder="1" applyAlignment="1">
      <alignment horizontal="right"/>
    </xf>
    <xf numFmtId="9" fontId="65" fillId="0" borderId="0" xfId="80" applyFont="1" applyFill="1" applyBorder="1" applyAlignment="1">
      <alignment horizontal="right"/>
    </xf>
    <xf numFmtId="9" fontId="65" fillId="0" borderId="0" xfId="0" applyNumberFormat="1" applyFont="1" applyAlignment="1">
      <alignment horizontal="right"/>
    </xf>
    <xf numFmtId="168" fontId="33" fillId="44" borderId="17" xfId="0" applyNumberFormat="1" applyFont="1" applyFill="1" applyBorder="1" applyAlignment="1">
      <alignment horizontal="right"/>
    </xf>
    <xf numFmtId="9" fontId="33" fillId="44" borderId="22" xfId="80" applyFont="1" applyFill="1" applyBorder="1" applyAlignment="1">
      <alignment horizontal="right"/>
    </xf>
    <xf numFmtId="168" fontId="65" fillId="0" borderId="0" xfId="0" applyNumberFormat="1" applyFont="1" applyAlignment="1">
      <alignment horizontal="right" vertical="center" wrapText="1"/>
    </xf>
    <xf numFmtId="168" fontId="33" fillId="44" borderId="22" xfId="0" applyNumberFormat="1" applyFont="1" applyFill="1" applyBorder="1" applyAlignment="1">
      <alignment horizontal="right"/>
    </xf>
    <xf numFmtId="165" fontId="65" fillId="0" borderId="22" xfId="0" applyNumberFormat="1" applyFont="1" applyBorder="1" applyAlignment="1">
      <alignment horizontal="right"/>
    </xf>
    <xf numFmtId="165" fontId="33" fillId="44" borderId="22" xfId="0" applyNumberFormat="1" applyFont="1" applyFill="1" applyBorder="1" applyAlignment="1">
      <alignment horizontal="right"/>
    </xf>
    <xf numFmtId="168" fontId="65" fillId="0" borderId="0" xfId="0" applyNumberFormat="1" applyFont="1" applyAlignment="1">
      <alignment horizontal="right"/>
    </xf>
    <xf numFmtId="168" fontId="65" fillId="0" borderId="0" xfId="0" applyNumberFormat="1" applyFont="1" applyAlignment="1">
      <alignment horizontal="right" vertical="center"/>
    </xf>
    <xf numFmtId="168" fontId="65" fillId="0" borderId="17" xfId="0" applyNumberFormat="1" applyFont="1" applyBorder="1" applyAlignment="1">
      <alignment horizontal="right"/>
    </xf>
    <xf numFmtId="9" fontId="65" fillId="0" borderId="17" xfId="80" applyFont="1" applyFill="1" applyBorder="1" applyAlignment="1">
      <alignment horizontal="right"/>
    </xf>
    <xf numFmtId="9" fontId="65" fillId="0" borderId="0" xfId="80" applyFont="1" applyFill="1" applyBorder="1" applyAlignment="1">
      <alignment horizontal="right" vertical="center"/>
    </xf>
    <xf numFmtId="168" fontId="33" fillId="44" borderId="0" xfId="0" applyNumberFormat="1" applyFont="1" applyFill="1" applyAlignment="1">
      <alignment horizontal="right"/>
    </xf>
    <xf numFmtId="169" fontId="65" fillId="0" borderId="17" xfId="80" applyNumberFormat="1" applyFont="1" applyFill="1" applyBorder="1" applyAlignment="1">
      <alignment horizontal="right"/>
    </xf>
    <xf numFmtId="0" fontId="37" fillId="0" borderId="0" xfId="0" applyFont="1"/>
    <xf numFmtId="0" fontId="66" fillId="0" borderId="0" xfId="0" applyFont="1"/>
    <xf numFmtId="0" fontId="64" fillId="0" borderId="0" xfId="0" applyFont="1"/>
    <xf numFmtId="0" fontId="67" fillId="0" borderId="0" xfId="0" applyFont="1"/>
    <xf numFmtId="0" fontId="33" fillId="0" borderId="0" xfId="0" applyFont="1" applyAlignment="1">
      <alignment horizontal="center"/>
    </xf>
    <xf numFmtId="0" fontId="33" fillId="0" borderId="0" xfId="0" applyFont="1"/>
    <xf numFmtId="0" fontId="33" fillId="0" borderId="17" xfId="0" applyFont="1" applyBorder="1" applyAlignment="1">
      <alignment horizontal="right"/>
    </xf>
    <xf numFmtId="0" fontId="33" fillId="44" borderId="17" xfId="0" applyFont="1" applyFill="1" applyBorder="1" applyAlignment="1">
      <alignment horizontal="right"/>
    </xf>
    <xf numFmtId="168" fontId="33" fillId="0" borderId="17" xfId="0" applyNumberFormat="1" applyFont="1" applyBorder="1" applyAlignment="1">
      <alignment horizontal="right"/>
    </xf>
    <xf numFmtId="0" fontId="67" fillId="0" borderId="0" xfId="0" applyFont="1" applyAlignment="1">
      <alignment horizontal="right"/>
    </xf>
    <xf numFmtId="0" fontId="33" fillId="0" borderId="0" xfId="0" applyFont="1" applyAlignment="1">
      <alignment horizontal="right"/>
    </xf>
    <xf numFmtId="0" fontId="33" fillId="44" borderId="0" xfId="0" applyFont="1" applyFill="1" applyAlignment="1">
      <alignment horizontal="right"/>
    </xf>
    <xf numFmtId="0" fontId="68" fillId="44" borderId="0" xfId="0" applyFont="1" applyFill="1" applyAlignment="1">
      <alignment horizontal="right"/>
    </xf>
    <xf numFmtId="2" fontId="33" fillId="44" borderId="17" xfId="0" applyNumberFormat="1" applyFont="1" applyFill="1" applyBorder="1" applyAlignment="1">
      <alignment horizontal="right"/>
    </xf>
    <xf numFmtId="0" fontId="38" fillId="0" borderId="0" xfId="0" applyFont="1"/>
    <xf numFmtId="17" fontId="33" fillId="0" borderId="0" xfId="0" applyNumberFormat="1" applyFont="1" applyAlignment="1">
      <alignment horizontal="center"/>
    </xf>
    <xf numFmtId="0" fontId="64" fillId="0" borderId="0" xfId="64" applyFont="1" applyAlignment="1">
      <alignment horizontal="center" wrapText="1"/>
    </xf>
    <xf numFmtId="168" fontId="65" fillId="0" borderId="22" xfId="0" applyNumberFormat="1" applyFont="1" applyBorder="1" applyAlignment="1">
      <alignment horizontal="right" wrapText="1"/>
    </xf>
    <xf numFmtId="9" fontId="65" fillId="0" borderId="22" xfId="0" applyNumberFormat="1" applyFont="1" applyBorder="1" applyAlignment="1">
      <alignment horizontal="right"/>
    </xf>
    <xf numFmtId="168" fontId="65" fillId="0" borderId="17" xfId="0" applyNumberFormat="1" applyFont="1" applyBorder="1" applyAlignment="1">
      <alignment horizontal="right" wrapText="1"/>
    </xf>
    <xf numFmtId="9" fontId="65" fillId="0" borderId="17" xfId="0" applyNumberFormat="1" applyFont="1" applyBorder="1" applyAlignment="1">
      <alignment horizontal="right"/>
    </xf>
    <xf numFmtId="9" fontId="65" fillId="0" borderId="17" xfId="0" quotePrefix="1" applyNumberFormat="1" applyFont="1" applyBorder="1" applyAlignment="1">
      <alignment horizontal="right"/>
    </xf>
    <xf numFmtId="168" fontId="63" fillId="0" borderId="17" xfId="0" applyNumberFormat="1" applyFont="1" applyBorder="1" applyAlignment="1">
      <alignment horizontal="right" wrapText="1"/>
    </xf>
    <xf numFmtId="168" fontId="63" fillId="0" borderId="0" xfId="0" applyNumberFormat="1" applyFont="1" applyAlignment="1">
      <alignment horizontal="right" wrapText="1"/>
    </xf>
    <xf numFmtId="168" fontId="63" fillId="0" borderId="20" xfId="0" applyNumberFormat="1" applyFont="1" applyBorder="1" applyAlignment="1">
      <alignment horizontal="right"/>
    </xf>
    <xf numFmtId="168" fontId="63" fillId="0" borderId="17" xfId="0" applyNumberFormat="1" applyFont="1" applyBorder="1" applyAlignment="1">
      <alignment horizontal="right"/>
    </xf>
    <xf numFmtId="9" fontId="63" fillId="0" borderId="17" xfId="80" applyFont="1" applyFill="1" applyBorder="1" applyAlignment="1">
      <alignment horizontal="right"/>
    </xf>
    <xf numFmtId="9" fontId="63" fillId="0" borderId="0" xfId="80" applyFont="1" applyFill="1" applyBorder="1" applyAlignment="1">
      <alignment horizontal="right"/>
    </xf>
    <xf numFmtId="9" fontId="63" fillId="0" borderId="17" xfId="0" applyNumberFormat="1" applyFont="1" applyBorder="1" applyAlignment="1">
      <alignment horizontal="right"/>
    </xf>
    <xf numFmtId="9" fontId="63" fillId="0" borderId="0" xfId="0" applyNumberFormat="1" applyFont="1" applyAlignment="1">
      <alignment horizontal="right"/>
    </xf>
    <xf numFmtId="168" fontId="35" fillId="44" borderId="17" xfId="0" applyNumberFormat="1" applyFont="1" applyFill="1" applyBorder="1" applyAlignment="1">
      <alignment horizontal="right"/>
    </xf>
    <xf numFmtId="0" fontId="63" fillId="0" borderId="0" xfId="0" applyFont="1"/>
    <xf numFmtId="165" fontId="65" fillId="0" borderId="17" xfId="0" applyNumberFormat="1" applyFont="1" applyBorder="1" applyAlignment="1">
      <alignment horizontal="right" wrapText="1"/>
    </xf>
    <xf numFmtId="165" fontId="33" fillId="44" borderId="17" xfId="0" applyNumberFormat="1" applyFont="1" applyFill="1" applyBorder="1" applyAlignment="1">
      <alignment horizontal="right"/>
    </xf>
    <xf numFmtId="9" fontId="65" fillId="0" borderId="0" xfId="0" applyNumberFormat="1" applyFont="1"/>
    <xf numFmtId="9" fontId="33" fillId="44" borderId="0" xfId="0" applyNumberFormat="1" applyFont="1" applyFill="1"/>
    <xf numFmtId="0" fontId="69" fillId="0" borderId="0" xfId="0" applyFont="1" applyAlignment="1">
      <alignment vertical="center"/>
    </xf>
    <xf numFmtId="0" fontId="66" fillId="0" borderId="0" xfId="0" applyFont="1" applyAlignment="1">
      <alignment horizontal="center"/>
    </xf>
    <xf numFmtId="0" fontId="64" fillId="0" borderId="0" xfId="0" applyFont="1" applyAlignment="1">
      <alignment horizontal="right"/>
    </xf>
    <xf numFmtId="0" fontId="66" fillId="0" borderId="0" xfId="0" applyFont="1" applyAlignment="1">
      <alignment horizontal="right"/>
    </xf>
    <xf numFmtId="172" fontId="33" fillId="44" borderId="17" xfId="0" applyNumberFormat="1" applyFont="1" applyFill="1" applyBorder="1" applyAlignment="1">
      <alignment horizontal="right"/>
    </xf>
    <xf numFmtId="167" fontId="33" fillId="44" borderId="24" xfId="64" applyNumberFormat="1" applyFont="1" applyFill="1" applyBorder="1" applyAlignment="1">
      <alignment horizontal="right" vertical="center" indent="1"/>
    </xf>
    <xf numFmtId="2" fontId="33" fillId="0" borderId="17" xfId="0" applyNumberFormat="1" applyFont="1" applyBorder="1" applyAlignment="1">
      <alignment horizontal="right"/>
    </xf>
    <xf numFmtId="172" fontId="33" fillId="0" borderId="17" xfId="0" applyNumberFormat="1" applyFont="1" applyBorder="1" applyAlignment="1">
      <alignment horizontal="right"/>
    </xf>
    <xf numFmtId="17" fontId="64" fillId="0" borderId="13" xfId="0" applyNumberFormat="1" applyFont="1" applyBorder="1" applyAlignment="1">
      <alignment horizontal="right"/>
    </xf>
    <xf numFmtId="9" fontId="59" fillId="0" borderId="17" xfId="79" applyFont="1" applyFill="1" applyBorder="1" applyAlignment="1">
      <alignment horizontal="right" vertical="center" indent="1"/>
    </xf>
    <xf numFmtId="9" fontId="70" fillId="0" borderId="17" xfId="79" applyFont="1" applyFill="1" applyBorder="1" applyAlignment="1">
      <alignment horizontal="right" vertical="center" indent="1"/>
    </xf>
    <xf numFmtId="0" fontId="33" fillId="0" borderId="17" xfId="0" quotePrefix="1" applyFont="1" applyBorder="1" applyAlignment="1">
      <alignment horizontal="right"/>
    </xf>
    <xf numFmtId="172" fontId="33" fillId="0" borderId="17" xfId="0" quotePrefix="1" applyNumberFormat="1" applyFont="1" applyBorder="1" applyAlignment="1">
      <alignment horizontal="right"/>
    </xf>
    <xf numFmtId="3" fontId="62" fillId="44" borderId="13" xfId="64" applyNumberFormat="1" applyFont="1" applyFill="1" applyBorder="1" applyAlignment="1">
      <alignment horizontal="center" vertical="center" wrapText="1"/>
    </xf>
    <xf numFmtId="168" fontId="71" fillId="44" borderId="17" xfId="0" applyNumberFormat="1" applyFont="1" applyFill="1" applyBorder="1" applyAlignment="1">
      <alignment horizontal="right"/>
    </xf>
    <xf numFmtId="168" fontId="67" fillId="44" borderId="17" xfId="0" applyNumberFormat="1" applyFont="1" applyFill="1" applyBorder="1" applyAlignment="1">
      <alignment horizontal="right"/>
    </xf>
    <xf numFmtId="9" fontId="30" fillId="44" borderId="17" xfId="79" applyFont="1" applyFill="1" applyBorder="1" applyAlignment="1">
      <alignment horizontal="right" vertical="center" indent="1"/>
    </xf>
    <xf numFmtId="9" fontId="29" fillId="44" borderId="17" xfId="79" applyFont="1" applyFill="1" applyBorder="1" applyAlignment="1">
      <alignment horizontal="right" vertical="center" indent="1"/>
    </xf>
    <xf numFmtId="0" fontId="71" fillId="44" borderId="17" xfId="0" applyFont="1" applyFill="1" applyBorder="1" applyAlignment="1">
      <alignment horizontal="right"/>
    </xf>
    <xf numFmtId="167" fontId="29" fillId="44" borderId="25" xfId="64" applyNumberFormat="1" applyFont="1" applyFill="1" applyBorder="1" applyAlignment="1">
      <alignment horizontal="right" vertical="center" indent="1"/>
    </xf>
    <xf numFmtId="167" fontId="30" fillId="44" borderId="25" xfId="64" applyNumberFormat="1" applyFont="1" applyFill="1" applyBorder="1" applyAlignment="1">
      <alignment horizontal="right" vertical="center" indent="1"/>
    </xf>
    <xf numFmtId="168" fontId="71" fillId="44" borderId="22" xfId="0" applyNumberFormat="1" applyFont="1" applyFill="1" applyBorder="1" applyAlignment="1">
      <alignment horizontal="right"/>
    </xf>
    <xf numFmtId="168" fontId="71" fillId="44" borderId="22" xfId="0" quotePrefix="1" applyNumberFormat="1" applyFont="1" applyFill="1" applyBorder="1" applyAlignment="1">
      <alignment horizontal="right"/>
    </xf>
    <xf numFmtId="165" fontId="71" fillId="44" borderId="22" xfId="0" applyNumberFormat="1" applyFont="1" applyFill="1" applyBorder="1" applyAlignment="1">
      <alignment horizontal="right"/>
    </xf>
    <xf numFmtId="0" fontId="65" fillId="44" borderId="17" xfId="0" applyFont="1" applyFill="1" applyBorder="1" applyAlignment="1">
      <alignment horizontal="right"/>
    </xf>
    <xf numFmtId="0" fontId="65" fillId="44" borderId="22" xfId="80" quotePrefix="1" applyNumberFormat="1" applyFont="1" applyFill="1" applyBorder="1" applyAlignment="1">
      <alignment horizontal="right"/>
    </xf>
    <xf numFmtId="168" fontId="65" fillId="44" borderId="22" xfId="80" quotePrefix="1" applyNumberFormat="1" applyFont="1" applyFill="1" applyBorder="1" applyAlignment="1">
      <alignment horizontal="right"/>
    </xf>
    <xf numFmtId="0" fontId="63" fillId="44" borderId="22" xfId="80" quotePrefix="1" applyNumberFormat="1" applyFont="1" applyFill="1" applyBorder="1" applyAlignment="1">
      <alignment horizontal="right"/>
    </xf>
    <xf numFmtId="0" fontId="63" fillId="45" borderId="24" xfId="64" applyFont="1" applyFill="1" applyBorder="1" applyAlignment="1">
      <alignment vertical="center"/>
    </xf>
    <xf numFmtId="0" fontId="33" fillId="44" borderId="24" xfId="64" applyFont="1" applyFill="1" applyBorder="1" applyAlignment="1">
      <alignment horizontal="left" vertical="top"/>
    </xf>
    <xf numFmtId="2" fontId="63" fillId="45" borderId="24" xfId="64" applyNumberFormat="1" applyFont="1" applyFill="1" applyBorder="1" applyAlignment="1">
      <alignment horizontal="right" vertical="center"/>
    </xf>
    <xf numFmtId="0" fontId="63" fillId="45" borderId="24" xfId="64" applyFont="1" applyFill="1" applyBorder="1" applyAlignment="1">
      <alignment horizontal="center" vertical="center"/>
    </xf>
    <xf numFmtId="167" fontId="70" fillId="44" borderId="17" xfId="64" applyNumberFormat="1" applyFont="1" applyFill="1" applyBorder="1" applyAlignment="1">
      <alignment horizontal="right" vertical="center" indent="1"/>
    </xf>
    <xf numFmtId="168" fontId="33" fillId="0" borderId="17" xfId="0" quotePrefix="1" applyNumberFormat="1" applyFont="1" applyBorder="1" applyAlignment="1">
      <alignment horizontal="right"/>
    </xf>
    <xf numFmtId="0" fontId="72" fillId="0" borderId="0" xfId="64" applyFont="1" applyAlignment="1">
      <alignment vertical="center"/>
    </xf>
    <xf numFmtId="0" fontId="65" fillId="0" borderId="0" xfId="64" applyFont="1" applyAlignment="1">
      <alignment horizontal="left" vertical="top"/>
    </xf>
    <xf numFmtId="0" fontId="73" fillId="0" borderId="0" xfId="64" applyFont="1" applyAlignment="1">
      <alignment horizontal="center" vertical="center" wrapText="1"/>
    </xf>
    <xf numFmtId="0" fontId="63" fillId="0" borderId="0" xfId="64" applyFont="1" applyAlignment="1">
      <alignment horizontal="left" vertical="top"/>
    </xf>
    <xf numFmtId="167" fontId="33" fillId="0" borderId="24" xfId="64" applyNumberFormat="1" applyFont="1" applyBorder="1" applyAlignment="1">
      <alignment horizontal="right" vertical="center" indent="1"/>
    </xf>
    <xf numFmtId="167" fontId="33" fillId="0" borderId="0" xfId="64" applyNumberFormat="1" applyFont="1" applyAlignment="1">
      <alignment horizontal="right" vertical="center" indent="1"/>
    </xf>
    <xf numFmtId="0" fontId="63" fillId="0" borderId="0" xfId="64" applyFont="1" applyAlignment="1">
      <alignment horizontal="left" vertical="top" wrapText="1"/>
    </xf>
    <xf numFmtId="167" fontId="33" fillId="43" borderId="0" xfId="64" applyNumberFormat="1" applyFont="1" applyFill="1" applyAlignment="1">
      <alignment horizontal="right" vertical="center" indent="1"/>
    </xf>
    <xf numFmtId="0" fontId="74" fillId="0" borderId="0" xfId="64" applyFont="1" applyAlignment="1">
      <alignment horizontal="left" vertical="top"/>
    </xf>
    <xf numFmtId="0" fontId="74" fillId="0" borderId="24" xfId="64" applyFont="1" applyBorder="1" applyAlignment="1">
      <alignment horizontal="left" vertical="top"/>
    </xf>
    <xf numFmtId="2" fontId="65" fillId="0" borderId="0" xfId="64" applyNumberFormat="1" applyFont="1" applyAlignment="1">
      <alignment horizontal="right" vertical="top"/>
    </xf>
    <xf numFmtId="0" fontId="65" fillId="0" borderId="0" xfId="64" applyFont="1" applyAlignment="1">
      <alignment vertical="top"/>
    </xf>
    <xf numFmtId="0" fontId="63" fillId="0" borderId="0" xfId="64" applyFont="1" applyAlignment="1">
      <alignment vertical="top"/>
    </xf>
    <xf numFmtId="171" fontId="33" fillId="0" borderId="24" xfId="64" applyNumberFormat="1" applyFont="1" applyBorder="1" applyAlignment="1">
      <alignment horizontal="right" vertical="center" indent="1"/>
    </xf>
    <xf numFmtId="0" fontId="65" fillId="0" borderId="0" xfId="64" applyFont="1" applyAlignment="1">
      <alignment horizontal="left" vertical="top" wrapText="1"/>
    </xf>
    <xf numFmtId="170" fontId="33" fillId="0" borderId="24" xfId="64" applyNumberFormat="1" applyFont="1" applyBorder="1" applyAlignment="1">
      <alignment horizontal="right" vertical="center" indent="1"/>
    </xf>
    <xf numFmtId="0" fontId="75" fillId="0" borderId="0" xfId="64" applyFont="1" applyAlignment="1">
      <alignment horizontal="left" vertical="top"/>
    </xf>
    <xf numFmtId="0" fontId="62" fillId="0" borderId="0" xfId="64" applyFont="1" applyAlignment="1">
      <alignment horizontal="left"/>
    </xf>
    <xf numFmtId="0" fontId="58" fillId="0" borderId="0" xfId="64" applyFont="1" applyAlignment="1">
      <alignment horizontal="left" vertical="center" indent="2"/>
    </xf>
    <xf numFmtId="0" fontId="58" fillId="0" borderId="0" xfId="64" applyFont="1" applyAlignment="1">
      <alignment horizontal="left" vertical="center" wrapText="1" indent="2"/>
    </xf>
    <xf numFmtId="167" fontId="62" fillId="0" borderId="0" xfId="64" applyNumberFormat="1" applyFont="1" applyAlignment="1">
      <alignment vertical="center"/>
    </xf>
    <xf numFmtId="0" fontId="62" fillId="0" borderId="22" xfId="64" applyFont="1" applyBorder="1" applyAlignment="1">
      <alignment horizontal="center" wrapText="1"/>
    </xf>
    <xf numFmtId="167" fontId="30" fillId="0" borderId="17" xfId="64" applyNumberFormat="1" applyFont="1" applyBorder="1" applyAlignment="1">
      <alignment horizontal="right" vertical="center" indent="1"/>
    </xf>
    <xf numFmtId="167" fontId="29" fillId="0" borderId="17" xfId="64" applyNumberFormat="1" applyFont="1" applyBorder="1" applyAlignment="1">
      <alignment horizontal="right" vertical="center" indent="1"/>
    </xf>
    <xf numFmtId="167" fontId="30" fillId="0" borderId="20" xfId="64" applyNumberFormat="1" applyFont="1" applyBorder="1" applyAlignment="1">
      <alignment horizontal="right" vertical="center" indent="1"/>
    </xf>
    <xf numFmtId="167" fontId="29" fillId="0" borderId="22" xfId="64" applyNumberFormat="1" applyFont="1" applyBorder="1" applyAlignment="1">
      <alignment horizontal="right" vertical="center" indent="1"/>
    </xf>
    <xf numFmtId="167" fontId="29" fillId="0" borderId="20" xfId="64" applyNumberFormat="1" applyFont="1" applyBorder="1" applyAlignment="1">
      <alignment horizontal="right" vertical="center" indent="1"/>
    </xf>
    <xf numFmtId="167" fontId="30" fillId="0" borderId="18" xfId="64" applyNumberFormat="1" applyFont="1" applyBorder="1" applyAlignment="1">
      <alignment horizontal="right" vertical="center" indent="1"/>
    </xf>
    <xf numFmtId="167" fontId="30" fillId="0" borderId="26" xfId="64" applyNumberFormat="1" applyFont="1" applyBorder="1" applyAlignment="1">
      <alignment horizontal="right" vertical="center" indent="1"/>
    </xf>
    <xf numFmtId="167" fontId="29" fillId="0" borderId="23" xfId="64" applyNumberFormat="1" applyFont="1" applyBorder="1" applyAlignment="1">
      <alignment horizontal="right" vertical="center" indent="1"/>
    </xf>
    <xf numFmtId="167" fontId="30" fillId="0" borderId="22" xfId="64" applyNumberFormat="1" applyFont="1" applyBorder="1" applyAlignment="1">
      <alignment horizontal="right" vertical="center" indent="1"/>
    </xf>
    <xf numFmtId="167" fontId="30" fillId="0" borderId="23" xfId="64" applyNumberFormat="1" applyFont="1" applyBorder="1" applyAlignment="1">
      <alignment horizontal="right" vertical="center" indent="1"/>
    </xf>
    <xf numFmtId="0" fontId="34" fillId="0" borderId="0" xfId="64" applyFont="1"/>
    <xf numFmtId="3" fontId="29" fillId="0" borderId="22" xfId="64" applyNumberFormat="1" applyFont="1" applyBorder="1" applyAlignment="1">
      <alignment horizontal="right" vertical="center"/>
    </xf>
    <xf numFmtId="3" fontId="30" fillId="0" borderId="22" xfId="64" applyNumberFormat="1" applyFont="1" applyBorder="1" applyAlignment="1">
      <alignment horizontal="right" vertical="center"/>
    </xf>
    <xf numFmtId="3" fontId="76" fillId="0" borderId="0" xfId="64" applyNumberFormat="1" applyFont="1" applyAlignment="1">
      <alignment horizontal="right" vertical="center"/>
    </xf>
    <xf numFmtId="0" fontId="9" fillId="0" borderId="22" xfId="64" applyBorder="1"/>
    <xf numFmtId="167" fontId="77" fillId="0" borderId="0" xfId="64" applyNumberFormat="1" applyFont="1" applyAlignment="1">
      <alignment horizontal="right" vertical="center" indent="1"/>
    </xf>
    <xf numFmtId="167" fontId="77" fillId="0" borderId="18" xfId="64" applyNumberFormat="1" applyFont="1" applyBorder="1" applyAlignment="1">
      <alignment horizontal="right" vertical="center" indent="1"/>
    </xf>
    <xf numFmtId="4" fontId="29" fillId="0" borderId="0" xfId="64" applyNumberFormat="1" applyFont="1"/>
    <xf numFmtId="167" fontId="30" fillId="44" borderId="17" xfId="64" applyNumberFormat="1" applyFont="1" applyFill="1" applyBorder="1" applyAlignment="1">
      <alignment horizontal="right" vertical="center" indent="1"/>
    </xf>
    <xf numFmtId="167" fontId="30" fillId="44" borderId="22" xfId="64" applyNumberFormat="1" applyFont="1" applyFill="1" applyBorder="1" applyAlignment="1">
      <alignment horizontal="right" vertical="center" indent="1"/>
    </xf>
    <xf numFmtId="0" fontId="78" fillId="0" borderId="0" xfId="64" applyFont="1"/>
    <xf numFmtId="167" fontId="29" fillId="44" borderId="18" xfId="64" applyNumberFormat="1" applyFont="1" applyFill="1" applyBorder="1" applyAlignment="1">
      <alignment horizontal="right" vertical="center" indent="1"/>
    </xf>
    <xf numFmtId="4" fontId="29" fillId="44" borderId="0" xfId="64" applyNumberFormat="1" applyFont="1" applyFill="1"/>
    <xf numFmtId="167" fontId="30" fillId="44" borderId="18" xfId="64" applyNumberFormat="1" applyFont="1" applyFill="1" applyBorder="1" applyAlignment="1">
      <alignment horizontal="right" vertical="center" indent="1"/>
    </xf>
    <xf numFmtId="3" fontId="29" fillId="44" borderId="0" xfId="64" applyNumberFormat="1" applyFont="1" applyFill="1" applyAlignment="1">
      <alignment horizontal="right" vertical="center"/>
    </xf>
    <xf numFmtId="0" fontId="62" fillId="44" borderId="22" xfId="64" applyFont="1" applyFill="1" applyBorder="1" applyAlignment="1">
      <alignment horizontal="center" wrapText="1"/>
    </xf>
    <xf numFmtId="167" fontId="77" fillId="44" borderId="0" xfId="64" applyNumberFormat="1" applyFont="1" applyFill="1" applyAlignment="1">
      <alignment horizontal="right" vertical="center" indent="1"/>
    </xf>
    <xf numFmtId="0" fontId="9" fillId="0" borderId="27" xfId="64" applyBorder="1"/>
    <xf numFmtId="167" fontId="29" fillId="44" borderId="28" xfId="64" applyNumberFormat="1" applyFont="1" applyFill="1" applyBorder="1" applyAlignment="1">
      <alignment horizontal="right" vertical="center" indent="1"/>
    </xf>
    <xf numFmtId="167" fontId="30" fillId="44" borderId="28" xfId="64" applyNumberFormat="1" applyFont="1" applyFill="1" applyBorder="1" applyAlignment="1">
      <alignment horizontal="right" vertical="center" indent="1"/>
    </xf>
    <xf numFmtId="3" fontId="30" fillId="44" borderId="22" xfId="64" applyNumberFormat="1" applyFont="1" applyFill="1" applyBorder="1" applyAlignment="1">
      <alignment horizontal="right" vertical="center"/>
    </xf>
    <xf numFmtId="0" fontId="70" fillId="44" borderId="0" xfId="64" applyFont="1" applyFill="1"/>
    <xf numFmtId="3" fontId="62" fillId="44" borderId="22" xfId="64" applyNumberFormat="1" applyFont="1" applyFill="1" applyBorder="1" applyAlignment="1">
      <alignment horizontal="center" vertical="center" wrapText="1"/>
    </xf>
    <xf numFmtId="167" fontId="29" fillId="44" borderId="20" xfId="64" applyNumberFormat="1" applyFont="1" applyFill="1" applyBorder="1" applyAlignment="1">
      <alignment horizontal="right" vertical="center" indent="1"/>
    </xf>
    <xf numFmtId="167" fontId="30" fillId="44" borderId="20" xfId="64" applyNumberFormat="1" applyFont="1" applyFill="1" applyBorder="1" applyAlignment="1">
      <alignment horizontal="right" vertical="center" indent="1"/>
    </xf>
    <xf numFmtId="4" fontId="29" fillId="44" borderId="20" xfId="64" applyNumberFormat="1" applyFont="1" applyFill="1" applyBorder="1" applyAlignment="1">
      <alignment horizontal="right" vertical="center" indent="1"/>
    </xf>
    <xf numFmtId="3" fontId="30" fillId="44" borderId="20" xfId="64" applyNumberFormat="1" applyFont="1" applyFill="1" applyBorder="1" applyAlignment="1">
      <alignment horizontal="right" vertical="center" indent="1"/>
    </xf>
    <xf numFmtId="3" fontId="29" fillId="44" borderId="23" xfId="64" applyNumberFormat="1" applyFont="1" applyFill="1" applyBorder="1" applyAlignment="1">
      <alignment horizontal="right" vertical="center" indent="1"/>
    </xf>
    <xf numFmtId="2" fontId="30" fillId="44" borderId="20" xfId="64" applyNumberFormat="1" applyFont="1" applyFill="1" applyBorder="1" applyAlignment="1">
      <alignment horizontal="right" vertical="center" indent="1"/>
    </xf>
    <xf numFmtId="167" fontId="29" fillId="44" borderId="26" xfId="64" applyNumberFormat="1" applyFont="1" applyFill="1" applyBorder="1" applyAlignment="1">
      <alignment horizontal="right" vertical="center" indent="1"/>
    </xf>
    <xf numFmtId="167" fontId="29" fillId="44" borderId="23" xfId="64" applyNumberFormat="1" applyFont="1" applyFill="1" applyBorder="1" applyAlignment="1">
      <alignment horizontal="right" vertical="center" indent="1"/>
    </xf>
    <xf numFmtId="167" fontId="30" fillId="44" borderId="23" xfId="64" applyNumberFormat="1" applyFont="1" applyFill="1" applyBorder="1" applyAlignment="1">
      <alignment horizontal="right" vertical="center" indent="1"/>
    </xf>
    <xf numFmtId="0" fontId="62" fillId="0" borderId="0" xfId="64" applyFont="1" applyAlignment="1">
      <alignment horizontal="center" wrapText="1"/>
    </xf>
    <xf numFmtId="0" fontId="62" fillId="44" borderId="0" xfId="64" applyFont="1" applyFill="1" applyAlignment="1">
      <alignment horizontal="center" wrapText="1"/>
    </xf>
    <xf numFmtId="167" fontId="29" fillId="44" borderId="17" xfId="64" applyNumberFormat="1" applyFont="1" applyFill="1" applyBorder="1" applyAlignment="1">
      <alignment horizontal="right" vertical="center" indent="1"/>
    </xf>
    <xf numFmtId="167" fontId="29" fillId="44" borderId="22" xfId="64" applyNumberFormat="1" applyFont="1" applyFill="1" applyBorder="1" applyAlignment="1">
      <alignment horizontal="right" vertical="center" indent="1"/>
    </xf>
    <xf numFmtId="167" fontId="30" fillId="44" borderId="0" xfId="64" applyNumberFormat="1" applyFont="1" applyFill="1" applyAlignment="1">
      <alignment horizontal="right" vertical="center" indent="1"/>
    </xf>
    <xf numFmtId="0" fontId="72" fillId="0" borderId="0" xfId="0" applyFont="1" applyAlignment="1">
      <alignment vertical="center"/>
    </xf>
    <xf numFmtId="0" fontId="63" fillId="45" borderId="24" xfId="0" applyFont="1" applyFill="1" applyBorder="1" applyAlignment="1">
      <alignment vertical="center"/>
    </xf>
    <xf numFmtId="0" fontId="65" fillId="0" borderId="0" xfId="0" applyFont="1" applyAlignment="1">
      <alignment horizontal="left" vertical="top"/>
    </xf>
    <xf numFmtId="0" fontId="73" fillId="0" borderId="0" xfId="0" applyFont="1" applyAlignment="1">
      <alignment horizontal="center" vertical="center" wrapText="1"/>
    </xf>
    <xf numFmtId="0" fontId="63" fillId="0" borderId="0" xfId="0" applyFont="1" applyAlignment="1">
      <alignment horizontal="left" vertical="top"/>
    </xf>
    <xf numFmtId="0" fontId="63" fillId="0" borderId="0" xfId="0" applyFont="1" applyAlignment="1">
      <alignment horizontal="left" vertical="top" wrapText="1"/>
    </xf>
    <xf numFmtId="0" fontId="74" fillId="0" borderId="0" xfId="0" applyFont="1" applyAlignment="1">
      <alignment horizontal="left" vertical="top"/>
    </xf>
    <xf numFmtId="0" fontId="64" fillId="0" borderId="0" xfId="0" applyFont="1" applyAlignment="1">
      <alignment horizontal="left" vertical="top"/>
    </xf>
    <xf numFmtId="2" fontId="63" fillId="45" borderId="24" xfId="0" applyNumberFormat="1" applyFont="1" applyFill="1" applyBorder="1" applyAlignment="1">
      <alignment horizontal="right" vertical="center"/>
    </xf>
    <xf numFmtId="0" fontId="65" fillId="0" borderId="0" xfId="0" applyFont="1" applyAlignment="1">
      <alignment vertical="top"/>
    </xf>
    <xf numFmtId="0" fontId="63" fillId="0" borderId="0" xfId="0" applyFont="1" applyAlignment="1">
      <alignment vertical="top"/>
    </xf>
    <xf numFmtId="0" fontId="65" fillId="0" borderId="0" xfId="0" applyFont="1" applyAlignment="1">
      <alignment horizontal="left" vertical="top" wrapText="1"/>
    </xf>
    <xf numFmtId="3" fontId="29" fillId="44" borderId="20" xfId="64" applyNumberFormat="1" applyFont="1" applyFill="1" applyBorder="1" applyAlignment="1">
      <alignment horizontal="right" vertical="center" indent="1"/>
    </xf>
    <xf numFmtId="3" fontId="30" fillId="44" borderId="23" xfId="64" applyNumberFormat="1" applyFont="1" applyFill="1" applyBorder="1" applyAlignment="1">
      <alignment horizontal="right" vertical="center" indent="1"/>
    </xf>
    <xf numFmtId="9" fontId="71" fillId="44" borderId="17" xfId="0" applyNumberFormat="1" applyFont="1" applyFill="1" applyBorder="1" applyAlignment="1">
      <alignment horizontal="right"/>
    </xf>
    <xf numFmtId="9" fontId="71" fillId="44" borderId="17" xfId="0" quotePrefix="1" applyNumberFormat="1" applyFont="1" applyFill="1" applyBorder="1" applyAlignment="1">
      <alignment horizontal="right"/>
    </xf>
    <xf numFmtId="9" fontId="65" fillId="44" borderId="22" xfId="80" quotePrefix="1" applyFont="1" applyFill="1" applyBorder="1" applyAlignment="1">
      <alignment horizontal="right"/>
    </xf>
    <xf numFmtId="9" fontId="63" fillId="44" borderId="22" xfId="80" quotePrefix="1" applyFont="1" applyFill="1" applyBorder="1" applyAlignment="1">
      <alignment horizontal="right"/>
    </xf>
    <xf numFmtId="168" fontId="63" fillId="44" borderId="22" xfId="80" quotePrefix="1" applyNumberFormat="1" applyFont="1" applyFill="1" applyBorder="1" applyAlignment="1">
      <alignment horizontal="right"/>
    </xf>
    <xf numFmtId="0" fontId="78" fillId="0" borderId="19" xfId="64" applyFont="1" applyBorder="1"/>
    <xf numFmtId="0" fontId="0" fillId="0" borderId="19" xfId="0" applyBorder="1"/>
    <xf numFmtId="0" fontId="9" fillId="0" borderId="19" xfId="64" applyBorder="1"/>
    <xf numFmtId="0" fontId="34" fillId="0" borderId="19" xfId="64" applyFont="1" applyBorder="1"/>
    <xf numFmtId="167" fontId="35" fillId="0" borderId="24" xfId="64" applyNumberFormat="1" applyFont="1" applyBorder="1" applyAlignment="1">
      <alignment horizontal="right" vertical="center" indent="1"/>
    </xf>
    <xf numFmtId="167" fontId="35" fillId="0" borderId="21" xfId="64" applyNumberFormat="1" applyFont="1" applyBorder="1" applyAlignment="1">
      <alignment horizontal="right" vertical="center" indent="1"/>
    </xf>
    <xf numFmtId="9" fontId="35" fillId="0" borderId="24" xfId="80" applyFont="1" applyFill="1" applyBorder="1" applyAlignment="1">
      <alignment horizontal="right" vertical="center" indent="1"/>
    </xf>
    <xf numFmtId="0" fontId="62" fillId="0" borderId="0" xfId="64" applyFont="1"/>
    <xf numFmtId="0" fontId="61" fillId="0" borderId="0" xfId="64" applyFont="1"/>
    <xf numFmtId="0" fontId="79" fillId="0" borderId="0" xfId="64" applyFont="1"/>
    <xf numFmtId="0" fontId="76" fillId="0" borderId="0" xfId="64" applyFont="1"/>
    <xf numFmtId="0" fontId="70" fillId="0" borderId="0" xfId="64" applyFont="1"/>
    <xf numFmtId="0" fontId="62" fillId="0" borderId="22" xfId="0" applyFont="1" applyBorder="1" applyAlignment="1">
      <alignment horizontal="center" vertical="center" wrapText="1"/>
    </xf>
    <xf numFmtId="0" fontId="30" fillId="0" borderId="0" xfId="0" applyFont="1" applyAlignment="1">
      <alignment horizontal="right" vertical="center"/>
    </xf>
    <xf numFmtId="0" fontId="62" fillId="0" borderId="0" xfId="0" applyFont="1" applyAlignment="1">
      <alignment horizontal="center" vertical="center" wrapText="1"/>
    </xf>
    <xf numFmtId="0" fontId="29" fillId="0" borderId="0" xfId="0" applyFont="1" applyAlignment="1">
      <alignment vertical="center"/>
    </xf>
    <xf numFmtId="0" fontId="58" fillId="0" borderId="0" xfId="64" applyFont="1" applyAlignment="1">
      <alignment vertical="center" wrapText="1"/>
    </xf>
    <xf numFmtId="3" fontId="58" fillId="0" borderId="20" xfId="64" applyNumberFormat="1" applyFont="1" applyBorder="1" applyAlignment="1">
      <alignment horizontal="right" vertical="center" indent="1"/>
    </xf>
    <xf numFmtId="3" fontId="58" fillId="0" borderId="17" xfId="64" applyNumberFormat="1" applyFont="1" applyBorder="1" applyAlignment="1">
      <alignment horizontal="right" vertical="center" indent="1"/>
    </xf>
    <xf numFmtId="3" fontId="76" fillId="0" borderId="19" xfId="64" applyNumberFormat="1" applyFont="1" applyBorder="1" applyAlignment="1">
      <alignment horizontal="right" vertical="center" indent="1"/>
    </xf>
    <xf numFmtId="3" fontId="70" fillId="0" borderId="17" xfId="64" applyNumberFormat="1" applyFont="1" applyBorder="1" applyAlignment="1">
      <alignment horizontal="right" vertical="center" indent="1"/>
    </xf>
    <xf numFmtId="4" fontId="76" fillId="0" borderId="19" xfId="64" applyNumberFormat="1" applyFont="1" applyBorder="1" applyAlignment="1">
      <alignment horizontal="right" vertical="center" indent="1"/>
    </xf>
    <xf numFmtId="2" fontId="70" fillId="0" borderId="17" xfId="64" applyNumberFormat="1" applyFont="1" applyBorder="1" applyAlignment="1">
      <alignment horizontal="right" vertical="center" indent="1"/>
    </xf>
    <xf numFmtId="0" fontId="30" fillId="0" borderId="0" xfId="64" applyFont="1" applyAlignment="1">
      <alignment horizontal="center"/>
    </xf>
    <xf numFmtId="0" fontId="30" fillId="0" borderId="26" xfId="64" applyFont="1" applyBorder="1" applyAlignment="1">
      <alignment horizontal="center"/>
    </xf>
    <xf numFmtId="0" fontId="30" fillId="0" borderId="18" xfId="64" applyFont="1" applyBorder="1" applyAlignment="1">
      <alignment horizontal="center"/>
    </xf>
    <xf numFmtId="0" fontId="30" fillId="0" borderId="19" xfId="64" applyFont="1" applyBorder="1" applyAlignment="1">
      <alignment horizontal="center"/>
    </xf>
    <xf numFmtId="0" fontId="77" fillId="0" borderId="18" xfId="64" applyFont="1" applyBorder="1" applyAlignment="1">
      <alignment horizontal="center"/>
    </xf>
    <xf numFmtId="0" fontId="29" fillId="0" borderId="0" xfId="64" applyFont="1"/>
    <xf numFmtId="0" fontId="62" fillId="0" borderId="0" xfId="64" applyFont="1" applyAlignment="1">
      <alignment horizontal="center"/>
    </xf>
    <xf numFmtId="0" fontId="62" fillId="0" borderId="23" xfId="64" applyFont="1" applyBorder="1" applyAlignment="1">
      <alignment horizontal="center" wrapText="1"/>
    </xf>
    <xf numFmtId="0" fontId="62" fillId="0" borderId="19" xfId="64" applyFont="1" applyBorder="1" applyAlignment="1">
      <alignment horizontal="right"/>
    </xf>
    <xf numFmtId="0" fontId="30" fillId="0" borderId="17" xfId="64" applyFont="1" applyBorder="1" applyAlignment="1">
      <alignment vertical="center" wrapText="1"/>
    </xf>
    <xf numFmtId="0" fontId="30" fillId="0" borderId="0" xfId="64" applyFont="1" applyAlignment="1">
      <alignment vertical="center" wrapText="1"/>
    </xf>
    <xf numFmtId="0" fontId="30" fillId="0" borderId="19" xfId="64" applyFont="1" applyBorder="1"/>
    <xf numFmtId="167" fontId="59" fillId="0" borderId="17" xfId="64" applyNumberFormat="1" applyFont="1" applyBorder="1" applyAlignment="1">
      <alignment horizontal="right" vertical="center" indent="1"/>
    </xf>
    <xf numFmtId="0" fontId="30" fillId="0" borderId="0" xfId="64" applyFont="1"/>
    <xf numFmtId="0" fontId="80" fillId="0" borderId="0" xfId="64" applyFont="1" applyAlignment="1">
      <alignment vertical="center" wrapText="1"/>
    </xf>
    <xf numFmtId="0" fontId="29" fillId="0" borderId="0" xfId="64" applyFont="1" applyAlignment="1">
      <alignment vertical="center" wrapText="1"/>
    </xf>
    <xf numFmtId="0" fontId="29" fillId="0" borderId="19" xfId="64" applyFont="1" applyBorder="1"/>
    <xf numFmtId="167" fontId="70" fillId="0" borderId="17" xfId="64" applyNumberFormat="1" applyFont="1" applyBorder="1" applyAlignment="1">
      <alignment horizontal="right" vertical="center" indent="1"/>
    </xf>
    <xf numFmtId="0" fontId="58" fillId="0" borderId="0" xfId="64" applyFont="1" applyAlignment="1">
      <alignment horizontal="left" vertical="center"/>
    </xf>
    <xf numFmtId="167" fontId="76" fillId="0" borderId="19" xfId="64" applyNumberFormat="1" applyFont="1" applyBorder="1" applyAlignment="1">
      <alignment horizontal="right" vertical="center" indent="1"/>
    </xf>
    <xf numFmtId="0" fontId="80" fillId="0" borderId="0" xfId="64" applyFont="1" applyAlignment="1">
      <alignment horizontal="left" vertical="center"/>
    </xf>
    <xf numFmtId="0" fontId="58" fillId="0" borderId="17" xfId="64" applyFont="1" applyBorder="1" applyAlignment="1">
      <alignment horizontal="left" vertical="center" wrapText="1" indent="2"/>
    </xf>
    <xf numFmtId="0" fontId="81" fillId="0" borderId="0" xfId="64" applyFont="1" applyAlignment="1">
      <alignment vertical="center" wrapText="1"/>
    </xf>
    <xf numFmtId="4" fontId="29" fillId="0" borderId="17" xfId="64" applyNumberFormat="1" applyFont="1" applyBorder="1" applyAlignment="1">
      <alignment horizontal="right"/>
    </xf>
    <xf numFmtId="4" fontId="29" fillId="0" borderId="0" xfId="64" applyNumberFormat="1" applyFont="1" applyAlignment="1">
      <alignment horizontal="right"/>
    </xf>
    <xf numFmtId="4" fontId="76" fillId="0" borderId="17" xfId="64" applyNumberFormat="1" applyFont="1" applyBorder="1" applyAlignment="1">
      <alignment horizontal="right"/>
    </xf>
    <xf numFmtId="0" fontId="30" fillId="0" borderId="17" xfId="64" applyFont="1" applyBorder="1" applyAlignment="1">
      <alignment vertical="center"/>
    </xf>
    <xf numFmtId="0" fontId="30" fillId="0" borderId="0" xfId="64" applyFont="1" applyAlignment="1">
      <alignment vertical="center"/>
    </xf>
    <xf numFmtId="164" fontId="29" fillId="0" borderId="17" xfId="64" applyNumberFormat="1" applyFont="1" applyBorder="1" applyAlignment="1">
      <alignment horizontal="right" vertical="center" indent="1"/>
    </xf>
    <xf numFmtId="0" fontId="29" fillId="0" borderId="19" xfId="64" applyFont="1" applyBorder="1" applyAlignment="1">
      <alignment vertical="center" wrapText="1"/>
    </xf>
    <xf numFmtId="164" fontId="30" fillId="0" borderId="17" xfId="64" applyNumberFormat="1" applyFont="1" applyBorder="1" applyAlignment="1">
      <alignment horizontal="right" vertical="center" indent="1"/>
    </xf>
    <xf numFmtId="0" fontId="30" fillId="0" borderId="19" xfId="64" applyFont="1" applyBorder="1" applyAlignment="1">
      <alignment vertical="center" wrapText="1"/>
    </xf>
    <xf numFmtId="164" fontId="30" fillId="0" borderId="20" xfId="64" applyNumberFormat="1" applyFont="1" applyBorder="1" applyAlignment="1">
      <alignment horizontal="right" vertical="center" indent="1"/>
    </xf>
    <xf numFmtId="167" fontId="29" fillId="0" borderId="18" xfId="64" applyNumberFormat="1" applyFont="1" applyBorder="1" applyAlignment="1">
      <alignment horizontal="right" vertical="center" indent="1"/>
    </xf>
    <xf numFmtId="167" fontId="76" fillId="0" borderId="18" xfId="64" applyNumberFormat="1" applyFont="1" applyBorder="1" applyAlignment="1">
      <alignment horizontal="right" vertical="center" indent="1"/>
    </xf>
    <xf numFmtId="2" fontId="30" fillId="0" borderId="20" xfId="64" applyNumberFormat="1" applyFont="1" applyBorder="1" applyAlignment="1">
      <alignment horizontal="right" vertical="center" indent="1"/>
    </xf>
    <xf numFmtId="2" fontId="30" fillId="0" borderId="17" xfId="64" applyNumberFormat="1" applyFont="1" applyBorder="1" applyAlignment="1">
      <alignment horizontal="right" vertical="center" indent="1"/>
    </xf>
    <xf numFmtId="2" fontId="30" fillId="0" borderId="19" xfId="64" applyNumberFormat="1" applyFont="1" applyBorder="1" applyAlignment="1">
      <alignment vertical="center" wrapText="1"/>
    </xf>
    <xf numFmtId="4" fontId="30" fillId="0" borderId="17" xfId="64" applyNumberFormat="1" applyFont="1" applyBorder="1" applyAlignment="1">
      <alignment horizontal="right" vertical="center" indent="1"/>
    </xf>
    <xf numFmtId="2" fontId="59" fillId="0" borderId="17" xfId="64" applyNumberFormat="1" applyFont="1" applyBorder="1" applyAlignment="1">
      <alignment horizontal="right" vertical="center" indent="1"/>
    </xf>
    <xf numFmtId="2" fontId="29" fillId="0" borderId="20" xfId="64" applyNumberFormat="1" applyFont="1" applyBorder="1" applyAlignment="1">
      <alignment horizontal="right" vertical="center" indent="1"/>
    </xf>
    <xf numFmtId="2" fontId="29" fillId="0" borderId="17" xfId="64" applyNumberFormat="1" applyFont="1" applyBorder="1" applyAlignment="1">
      <alignment horizontal="right" vertical="center" indent="1"/>
    </xf>
    <xf numFmtId="4" fontId="29" fillId="0" borderId="17" xfId="64" applyNumberFormat="1" applyFont="1" applyBorder="1" applyAlignment="1">
      <alignment horizontal="right" vertical="center" indent="1"/>
    </xf>
    <xf numFmtId="2" fontId="29" fillId="0" borderId="0" xfId="64" applyNumberFormat="1" applyFont="1" applyAlignment="1">
      <alignment horizontal="right" vertical="center" indent="1"/>
    </xf>
    <xf numFmtId="4" fontId="29" fillId="0" borderId="0" xfId="64" applyNumberFormat="1" applyFont="1" applyAlignment="1">
      <alignment horizontal="right" vertical="center" indent="1"/>
    </xf>
    <xf numFmtId="2" fontId="29" fillId="44" borderId="0" xfId="64" applyNumberFormat="1" applyFont="1" applyFill="1" applyAlignment="1">
      <alignment horizontal="right" vertical="center" indent="1"/>
    </xf>
    <xf numFmtId="2" fontId="29" fillId="0" borderId="0" xfId="64" applyNumberFormat="1" applyFont="1" applyAlignment="1">
      <alignment vertical="center" wrapText="1"/>
    </xf>
    <xf numFmtId="2" fontId="29" fillId="0" borderId="0" xfId="64" applyNumberFormat="1" applyFont="1" applyAlignment="1">
      <alignment horizontal="right"/>
    </xf>
    <xf numFmtId="0" fontId="30" fillId="0" borderId="22" xfId="64" applyFont="1" applyBorder="1" applyAlignment="1">
      <alignment horizontal="center" wrapText="1"/>
    </xf>
    <xf numFmtId="0" fontId="30" fillId="0" borderId="0" xfId="64" applyFont="1" applyAlignment="1">
      <alignment horizontal="right"/>
    </xf>
    <xf numFmtId="167" fontId="77" fillId="0" borderId="19" xfId="64" applyNumberFormat="1" applyFont="1" applyBorder="1" applyAlignment="1">
      <alignment horizontal="right" vertical="center" indent="1"/>
    </xf>
    <xf numFmtId="0" fontId="29" fillId="0" borderId="0" xfId="64" applyFont="1" applyAlignment="1">
      <alignment horizontal="left" vertical="center" wrapText="1"/>
    </xf>
    <xf numFmtId="167" fontId="29" fillId="0" borderId="0" xfId="64" applyNumberFormat="1" applyFont="1" applyAlignment="1">
      <alignment horizontal="right" vertical="center" indent="1"/>
    </xf>
    <xf numFmtId="167" fontId="76" fillId="0" borderId="0" xfId="64" applyNumberFormat="1" applyFont="1" applyAlignment="1">
      <alignment horizontal="right" vertical="center" indent="1"/>
    </xf>
    <xf numFmtId="167" fontId="29" fillId="44" borderId="0" xfId="64" applyNumberFormat="1" applyFont="1" applyFill="1" applyAlignment="1">
      <alignment horizontal="right" vertical="center" indent="1"/>
    </xf>
    <xf numFmtId="0" fontId="30" fillId="44" borderId="0" xfId="64" applyFont="1" applyFill="1"/>
    <xf numFmtId="0" fontId="29" fillId="0" borderId="22" xfId="64" applyFont="1" applyBorder="1"/>
    <xf numFmtId="0" fontId="76" fillId="0" borderId="22" xfId="64" applyFont="1" applyBorder="1"/>
    <xf numFmtId="0" fontId="29" fillId="0" borderId="0" xfId="64" applyFont="1" applyAlignment="1">
      <alignment vertical="center"/>
    </xf>
    <xf numFmtId="0" fontId="9" fillId="0" borderId="0" xfId="0" applyFont="1"/>
    <xf numFmtId="167" fontId="29" fillId="0" borderId="0" xfId="64" applyNumberFormat="1" applyFont="1"/>
    <xf numFmtId="168" fontId="65" fillId="0" borderId="0" xfId="0" applyNumberFormat="1" applyFont="1"/>
    <xf numFmtId="9" fontId="29" fillId="44" borderId="18" xfId="80" applyFont="1" applyFill="1" applyBorder="1" applyAlignment="1">
      <alignment horizontal="right" vertical="center" indent="1"/>
    </xf>
    <xf numFmtId="9" fontId="70" fillId="0" borderId="0" xfId="79" applyFont="1" applyFill="1" applyBorder="1" applyAlignment="1">
      <alignment horizontal="right" vertical="center" indent="1"/>
    </xf>
    <xf numFmtId="9" fontId="29" fillId="44" borderId="0" xfId="79" applyFont="1" applyFill="1" applyBorder="1" applyAlignment="1">
      <alignment horizontal="right" vertical="center" indent="1"/>
    </xf>
    <xf numFmtId="173" fontId="29" fillId="44" borderId="17" xfId="79" applyNumberFormat="1" applyFont="1" applyFill="1" applyBorder="1" applyAlignment="1">
      <alignment horizontal="right" vertical="center" indent="1"/>
    </xf>
    <xf numFmtId="167" fontId="33" fillId="46" borderId="0" xfId="64" applyNumberFormat="1" applyFont="1" applyFill="1" applyAlignment="1">
      <alignment horizontal="right" vertical="center" indent="1"/>
    </xf>
    <xf numFmtId="165" fontId="65" fillId="44" borderId="22" xfId="80" quotePrefix="1" applyNumberFormat="1" applyFont="1" applyFill="1" applyBorder="1" applyAlignment="1">
      <alignment horizontal="right"/>
    </xf>
    <xf numFmtId="167" fontId="33" fillId="47" borderId="0" xfId="64" applyNumberFormat="1" applyFont="1" applyFill="1" applyAlignment="1">
      <alignment horizontal="right" vertical="center" indent="1"/>
    </xf>
    <xf numFmtId="0" fontId="80" fillId="44" borderId="0" xfId="64" applyFont="1" applyFill="1" applyAlignment="1">
      <alignment vertical="center" wrapText="1"/>
    </xf>
    <xf numFmtId="0" fontId="29" fillId="44" borderId="0" xfId="64" applyFont="1" applyFill="1" applyAlignment="1">
      <alignment horizontal="left" vertical="center" wrapText="1" indent="2"/>
    </xf>
    <xf numFmtId="0" fontId="29" fillId="44" borderId="19" xfId="64" applyFont="1" applyFill="1" applyBorder="1"/>
    <xf numFmtId="9" fontId="30" fillId="0" borderId="17" xfId="79" applyFont="1" applyFill="1" applyBorder="1" applyAlignment="1">
      <alignment horizontal="right" vertical="center" indent="1"/>
    </xf>
    <xf numFmtId="9" fontId="29" fillId="0" borderId="17" xfId="79" applyFont="1" applyFill="1" applyBorder="1" applyAlignment="1">
      <alignment horizontal="right" vertical="center" indent="1"/>
    </xf>
    <xf numFmtId="173" fontId="29" fillId="0" borderId="17" xfId="79" applyNumberFormat="1" applyFont="1" applyFill="1" applyBorder="1" applyAlignment="1">
      <alignment horizontal="right" vertical="center" indent="1"/>
    </xf>
    <xf numFmtId="0" fontId="29" fillId="44" borderId="0" xfId="64" applyFont="1" applyFill="1" applyAlignment="1">
      <alignment vertical="center" wrapText="1"/>
    </xf>
    <xf numFmtId="0" fontId="9" fillId="0" borderId="19" xfId="0" applyFont="1" applyBorder="1"/>
    <xf numFmtId="167" fontId="30" fillId="48" borderId="17" xfId="64" applyNumberFormat="1" applyFont="1" applyFill="1" applyBorder="1" applyAlignment="1">
      <alignment horizontal="right" vertical="center" indent="1"/>
    </xf>
    <xf numFmtId="167" fontId="29" fillId="48" borderId="17" xfId="64" applyNumberFormat="1" applyFont="1" applyFill="1" applyBorder="1" applyAlignment="1">
      <alignment horizontal="right" vertical="center" indent="1"/>
    </xf>
    <xf numFmtId="9" fontId="30" fillId="48" borderId="17" xfId="79" applyFont="1" applyFill="1" applyBorder="1" applyAlignment="1">
      <alignment horizontal="right" vertical="center" indent="1"/>
    </xf>
    <xf numFmtId="9" fontId="29" fillId="48" borderId="17" xfId="79" applyFont="1" applyFill="1" applyBorder="1" applyAlignment="1">
      <alignment horizontal="right" vertical="center" indent="1"/>
    </xf>
    <xf numFmtId="173" fontId="29" fillId="48" borderId="17" xfId="79" applyNumberFormat="1" applyFont="1" applyFill="1" applyBorder="1" applyAlignment="1">
      <alignment horizontal="right" vertical="center" indent="1"/>
    </xf>
    <xf numFmtId="2" fontId="30" fillId="48" borderId="17" xfId="64" applyNumberFormat="1" applyFont="1" applyFill="1" applyBorder="1" applyAlignment="1">
      <alignment horizontal="right" vertical="center" indent="1"/>
    </xf>
    <xf numFmtId="167" fontId="29" fillId="48" borderId="22" xfId="64" applyNumberFormat="1" applyFont="1" applyFill="1" applyBorder="1" applyAlignment="1">
      <alignment horizontal="right" vertical="center" indent="1"/>
    </xf>
    <xf numFmtId="167" fontId="30" fillId="48" borderId="18" xfId="64" applyNumberFormat="1" applyFont="1" applyFill="1" applyBorder="1" applyAlignment="1">
      <alignment horizontal="right" vertical="center" indent="1"/>
    </xf>
    <xf numFmtId="3" fontId="29" fillId="48" borderId="20" xfId="64" applyNumberFormat="1" applyFont="1" applyFill="1" applyBorder="1" applyAlignment="1">
      <alignment horizontal="right" vertical="center" indent="1"/>
    </xf>
    <xf numFmtId="3" fontId="30" fillId="48" borderId="20" xfId="64" applyNumberFormat="1" applyFont="1" applyFill="1" applyBorder="1" applyAlignment="1">
      <alignment horizontal="right" vertical="center" indent="1"/>
    </xf>
    <xf numFmtId="3" fontId="29" fillId="48" borderId="23" xfId="64" applyNumberFormat="1" applyFont="1" applyFill="1" applyBorder="1" applyAlignment="1">
      <alignment horizontal="right" vertical="center" indent="1"/>
    </xf>
    <xf numFmtId="3" fontId="30" fillId="48" borderId="23" xfId="64" applyNumberFormat="1" applyFont="1" applyFill="1" applyBorder="1" applyAlignment="1">
      <alignment horizontal="right" vertical="center" indent="1"/>
    </xf>
    <xf numFmtId="167" fontId="29" fillId="48" borderId="20" xfId="64" applyNumberFormat="1" applyFont="1" applyFill="1" applyBorder="1" applyAlignment="1">
      <alignment horizontal="right" vertical="center" indent="1"/>
    </xf>
    <xf numFmtId="167" fontId="29" fillId="48" borderId="26" xfId="64" applyNumberFormat="1" applyFont="1" applyFill="1" applyBorder="1" applyAlignment="1">
      <alignment horizontal="right" vertical="center" indent="1"/>
    </xf>
    <xf numFmtId="167" fontId="29" fillId="48" borderId="23" xfId="64" applyNumberFormat="1" applyFont="1" applyFill="1" applyBorder="1" applyAlignment="1">
      <alignment horizontal="right" vertical="center" indent="1"/>
    </xf>
    <xf numFmtId="167" fontId="30" fillId="48" borderId="25" xfId="64" applyNumberFormat="1" applyFont="1" applyFill="1" applyBorder="1" applyAlignment="1">
      <alignment horizontal="right" vertical="center" indent="1"/>
    </xf>
    <xf numFmtId="168" fontId="71" fillId="48" borderId="17" xfId="0" applyNumberFormat="1" applyFont="1" applyFill="1" applyBorder="1" applyAlignment="1">
      <alignment horizontal="right"/>
    </xf>
    <xf numFmtId="9" fontId="71" fillId="48" borderId="17" xfId="0" applyNumberFormat="1" applyFont="1" applyFill="1" applyBorder="1" applyAlignment="1">
      <alignment horizontal="right"/>
    </xf>
    <xf numFmtId="168" fontId="71" fillId="48" borderId="22" xfId="0" applyNumberFormat="1" applyFont="1" applyFill="1" applyBorder="1" applyAlignment="1">
      <alignment horizontal="right"/>
    </xf>
    <xf numFmtId="168" fontId="65" fillId="48" borderId="22" xfId="80" quotePrefix="1" applyNumberFormat="1" applyFont="1" applyFill="1" applyBorder="1" applyAlignment="1">
      <alignment horizontal="right"/>
    </xf>
    <xf numFmtId="168" fontId="63" fillId="48" borderId="22" xfId="80" quotePrefix="1" applyNumberFormat="1" applyFont="1" applyFill="1" applyBorder="1" applyAlignment="1">
      <alignment horizontal="right"/>
    </xf>
    <xf numFmtId="167" fontId="48" fillId="0" borderId="24" xfId="64" applyNumberFormat="1" applyFont="1" applyBorder="1" applyAlignment="1">
      <alignment horizontal="right" vertical="center" indent="1"/>
    </xf>
    <xf numFmtId="167" fontId="33" fillId="0" borderId="24" xfId="64" quotePrefix="1" applyNumberFormat="1" applyFont="1" applyBorder="1" applyAlignment="1">
      <alignment horizontal="right" vertical="center" indent="1"/>
    </xf>
    <xf numFmtId="0" fontId="50" fillId="0" borderId="0" xfId="0" applyFont="1" applyAlignment="1">
      <alignment horizontal="justify"/>
    </xf>
    <xf numFmtId="0" fontId="82" fillId="0" borderId="0" xfId="0" applyFont="1" applyAlignment="1">
      <alignment horizontal="justify"/>
    </xf>
    <xf numFmtId="167" fontId="51" fillId="48" borderId="17" xfId="64" applyNumberFormat="1" applyFont="1" applyFill="1" applyBorder="1" applyAlignment="1">
      <alignment horizontal="right" vertical="center" indent="1"/>
    </xf>
    <xf numFmtId="167" fontId="51" fillId="48" borderId="22" xfId="64" applyNumberFormat="1" applyFont="1" applyFill="1" applyBorder="1" applyAlignment="1">
      <alignment horizontal="right" vertical="center" indent="1"/>
    </xf>
    <xf numFmtId="167" fontId="30" fillId="48" borderId="20" xfId="64" applyNumberFormat="1" applyFont="1" applyFill="1" applyBorder="1" applyAlignment="1">
      <alignment horizontal="right" vertical="center" indent="1"/>
    </xf>
    <xf numFmtId="167" fontId="29" fillId="48" borderId="25" xfId="64" applyNumberFormat="1" applyFont="1" applyFill="1" applyBorder="1" applyAlignment="1">
      <alignment horizontal="right" vertical="center" indent="1"/>
    </xf>
    <xf numFmtId="167" fontId="70" fillId="0" borderId="0" xfId="64" applyNumberFormat="1" applyFont="1"/>
    <xf numFmtId="168" fontId="65" fillId="44" borderId="17" xfId="0" applyNumberFormat="1" applyFont="1" applyFill="1" applyBorder="1" applyAlignment="1">
      <alignment horizontal="right"/>
    </xf>
    <xf numFmtId="168" fontId="33" fillId="48" borderId="22" xfId="80" quotePrefix="1" applyNumberFormat="1" applyFont="1" applyFill="1" applyBorder="1" applyAlignment="1">
      <alignment horizontal="right"/>
    </xf>
    <xf numFmtId="0" fontId="75" fillId="0" borderId="0" xfId="0" applyFont="1"/>
    <xf numFmtId="0" fontId="62" fillId="0" borderId="0" xfId="64" applyFont="1" applyAlignment="1">
      <alignment vertical="center" wrapText="1"/>
    </xf>
    <xf numFmtId="3" fontId="29" fillId="0" borderId="0" xfId="64" applyNumberFormat="1" applyFont="1"/>
    <xf numFmtId="3" fontId="29" fillId="44" borderId="0" xfId="64" applyNumberFormat="1" applyFont="1" applyFill="1"/>
    <xf numFmtId="3" fontId="61" fillId="0" borderId="0" xfId="64" applyNumberFormat="1" applyFont="1"/>
    <xf numFmtId="3" fontId="61" fillId="44" borderId="0" xfId="64" applyNumberFormat="1" applyFont="1" applyFill="1"/>
    <xf numFmtId="0" fontId="62" fillId="0" borderId="22" xfId="64" applyFont="1" applyBorder="1" applyAlignment="1">
      <alignment horizontal="center" vertical="center" wrapText="1"/>
    </xf>
    <xf numFmtId="0" fontId="30" fillId="0" borderId="0" xfId="64" applyFont="1" applyAlignment="1">
      <alignment horizontal="right" vertical="center"/>
    </xf>
    <xf numFmtId="0" fontId="62" fillId="0" borderId="0" xfId="64" applyFont="1" applyAlignment="1">
      <alignment horizontal="center" vertical="center" wrapText="1"/>
    </xf>
    <xf numFmtId="3" fontId="62" fillId="0" borderId="22" xfId="64" applyNumberFormat="1" applyFont="1" applyBorder="1" applyAlignment="1">
      <alignment horizontal="center" vertical="center" wrapText="1"/>
    </xf>
    <xf numFmtId="3" fontId="62" fillId="44" borderId="0" xfId="64" applyNumberFormat="1" applyFont="1" applyFill="1" applyAlignment="1">
      <alignment horizontal="center" vertical="center" wrapText="1"/>
    </xf>
    <xf numFmtId="3" fontId="76" fillId="0" borderId="0" xfId="64" applyNumberFormat="1" applyFont="1" applyAlignment="1">
      <alignment horizontal="right" vertical="center" indent="1"/>
    </xf>
    <xf numFmtId="3" fontId="29" fillId="0" borderId="22" xfId="64" applyNumberFormat="1" applyFont="1" applyBorder="1" applyAlignment="1">
      <alignment horizontal="right" vertical="center" indent="1"/>
    </xf>
    <xf numFmtId="3" fontId="29" fillId="0" borderId="0" xfId="64" applyNumberFormat="1" applyFont="1" applyAlignment="1">
      <alignment horizontal="right" vertical="center" indent="1"/>
    </xf>
    <xf numFmtId="3" fontId="29" fillId="0" borderId="23" xfId="64" applyNumberFormat="1" applyFont="1" applyBorder="1" applyAlignment="1">
      <alignment horizontal="right" vertical="center" indent="1"/>
    </xf>
    <xf numFmtId="3" fontId="29" fillId="0" borderId="17" xfId="64" applyNumberFormat="1" applyFont="1" applyBorder="1" applyAlignment="1">
      <alignment horizontal="right" vertical="center" indent="1"/>
    </xf>
    <xf numFmtId="3" fontId="29" fillId="0" borderId="19" xfId="64" applyNumberFormat="1" applyFont="1" applyBorder="1" applyAlignment="1">
      <alignment horizontal="right" vertical="center" indent="1"/>
    </xf>
    <xf numFmtId="4" fontId="76" fillId="0" borderId="0" xfId="64" applyNumberFormat="1" applyFont="1" applyAlignment="1">
      <alignment horizontal="right" vertical="center" indent="1"/>
    </xf>
    <xf numFmtId="4" fontId="29" fillId="0" borderId="20" xfId="64" applyNumberFormat="1" applyFont="1" applyBorder="1" applyAlignment="1">
      <alignment horizontal="right" vertical="center" indent="1"/>
    </xf>
    <xf numFmtId="0" fontId="62" fillId="0" borderId="0" xfId="64" applyFont="1" applyAlignment="1">
      <alignment vertical="center"/>
    </xf>
    <xf numFmtId="0" fontId="62" fillId="0" borderId="13" xfId="64" applyFont="1" applyBorder="1" applyAlignment="1">
      <alignment horizontal="center" vertical="center" wrapText="1"/>
    </xf>
    <xf numFmtId="3" fontId="62" fillId="0" borderId="13" xfId="64" applyNumberFormat="1" applyFont="1" applyBorder="1" applyAlignment="1">
      <alignment horizontal="center" vertical="center" wrapText="1"/>
    </xf>
    <xf numFmtId="167" fontId="30" fillId="0" borderId="0" xfId="64" applyNumberFormat="1" applyFont="1" applyAlignment="1">
      <alignment horizontal="right"/>
    </xf>
    <xf numFmtId="3" fontId="30" fillId="0" borderId="22" xfId="64" applyNumberFormat="1" applyFont="1" applyBorder="1" applyAlignment="1">
      <alignment horizontal="right" vertical="center" indent="1"/>
    </xf>
    <xf numFmtId="3" fontId="30" fillId="0" borderId="0" xfId="64" applyNumberFormat="1" applyFont="1" applyAlignment="1">
      <alignment horizontal="right" vertical="center" indent="1"/>
    </xf>
    <xf numFmtId="167" fontId="29" fillId="0" borderId="0" xfId="64" applyNumberFormat="1" applyFont="1" applyAlignment="1">
      <alignment horizontal="right"/>
    </xf>
    <xf numFmtId="167" fontId="29" fillId="0" borderId="20" xfId="64" quotePrefix="1" applyNumberFormat="1" applyFont="1" applyBorder="1" applyAlignment="1">
      <alignment horizontal="right" vertical="center" indent="1"/>
    </xf>
    <xf numFmtId="167" fontId="29" fillId="0" borderId="17" xfId="64" quotePrefix="1" applyNumberFormat="1" applyFont="1" applyBorder="1" applyAlignment="1">
      <alignment horizontal="right" vertical="center" indent="1"/>
    </xf>
    <xf numFmtId="164" fontId="29" fillId="0" borderId="0" xfId="64" applyNumberFormat="1" applyFont="1" applyAlignment="1">
      <alignment horizontal="right" vertical="center" indent="1"/>
    </xf>
    <xf numFmtId="164" fontId="29" fillId="0" borderId="0" xfId="64" applyNumberFormat="1" applyFont="1" applyAlignment="1">
      <alignment horizontal="right"/>
    </xf>
    <xf numFmtId="164" fontId="76" fillId="0" borderId="0" xfId="64" applyNumberFormat="1" applyFont="1" applyAlignment="1">
      <alignment horizontal="right" vertical="center" indent="1"/>
    </xf>
    <xf numFmtId="164" fontId="29" fillId="0" borderId="17" xfId="64" applyNumberFormat="1" applyFont="1" applyBorder="1" applyAlignment="1">
      <alignment horizontal="right"/>
    </xf>
    <xf numFmtId="164" fontId="30" fillId="0" borderId="20" xfId="64" applyNumberFormat="1" applyFont="1" applyBorder="1" applyAlignment="1">
      <alignment horizontal="right" indent="1"/>
    </xf>
    <xf numFmtId="164" fontId="30" fillId="0" borderId="17" xfId="64" applyNumberFormat="1" applyFont="1" applyBorder="1" applyAlignment="1">
      <alignment horizontal="right" indent="1"/>
    </xf>
    <xf numFmtId="3" fontId="30" fillId="0" borderId="17" xfId="64" applyNumberFormat="1" applyFont="1" applyBorder="1" applyAlignment="1">
      <alignment horizontal="right" vertical="center" indent="1"/>
    </xf>
    <xf numFmtId="164" fontId="29" fillId="0" borderId="20" xfId="64" applyNumberFormat="1" applyFont="1" applyBorder="1" applyAlignment="1">
      <alignment horizontal="right" vertical="center" indent="1"/>
    </xf>
    <xf numFmtId="164" fontId="29" fillId="0" borderId="20" xfId="64" applyNumberFormat="1" applyFont="1" applyBorder="1" applyAlignment="1">
      <alignment horizontal="right" indent="1"/>
    </xf>
    <xf numFmtId="164" fontId="29" fillId="0" borderId="17" xfId="64" applyNumberFormat="1" applyFont="1" applyBorder="1" applyAlignment="1">
      <alignment horizontal="right" indent="1"/>
    </xf>
    <xf numFmtId="0" fontId="30" fillId="0" borderId="20" xfId="64" applyFont="1" applyBorder="1" applyAlignment="1">
      <alignment vertical="center"/>
    </xf>
    <xf numFmtId="0" fontId="30" fillId="0" borderId="20" xfId="64" applyFont="1" applyBorder="1" applyAlignment="1">
      <alignment horizontal="right" vertical="center" indent="1"/>
    </xf>
    <xf numFmtId="0" fontId="30" fillId="0" borderId="17" xfId="64" applyFont="1" applyBorder="1" applyAlignment="1">
      <alignment horizontal="right" vertical="center" indent="1"/>
    </xf>
    <xf numFmtId="167" fontId="30" fillId="0" borderId="0" xfId="64" applyNumberFormat="1" applyFont="1" applyAlignment="1">
      <alignment horizontal="right" indent="1"/>
    </xf>
    <xf numFmtId="2" fontId="30" fillId="0" borderId="0" xfId="64" applyNumberFormat="1" applyFont="1" applyAlignment="1">
      <alignment horizontal="right" vertical="center" indent="1"/>
    </xf>
    <xf numFmtId="0" fontId="59" fillId="0" borderId="0" xfId="64" applyFont="1" applyAlignment="1">
      <alignment horizontal="center"/>
    </xf>
    <xf numFmtId="4" fontId="29" fillId="0" borderId="22" xfId="64" applyNumberFormat="1" applyFont="1" applyBorder="1" applyAlignment="1">
      <alignment horizontal="right"/>
    </xf>
    <xf numFmtId="0" fontId="77" fillId="0" borderId="22" xfId="64" applyFont="1" applyBorder="1" applyAlignment="1">
      <alignment horizontal="center" wrapText="1"/>
    </xf>
    <xf numFmtId="0" fontId="29" fillId="44" borderId="28" xfId="64" applyFont="1" applyFill="1" applyBorder="1"/>
    <xf numFmtId="167" fontId="58" fillId="0" borderId="0" xfId="64" applyNumberFormat="1" applyFont="1" applyAlignment="1">
      <alignment horizontal="right" vertical="center" indent="1"/>
    </xf>
    <xf numFmtId="167" fontId="60" fillId="0" borderId="0" xfId="64" applyNumberFormat="1" applyFont="1" applyAlignment="1">
      <alignment horizontal="right" vertical="center" indent="1"/>
    </xf>
    <xf numFmtId="0" fontId="29" fillId="0" borderId="0" xfId="64" applyFont="1" applyAlignment="1">
      <alignment wrapText="1"/>
    </xf>
    <xf numFmtId="0" fontId="9" fillId="44" borderId="0" xfId="64" applyFill="1"/>
    <xf numFmtId="3" fontId="30" fillId="0" borderId="0" xfId="64" applyNumberFormat="1" applyFont="1" applyAlignment="1">
      <alignment horizontal="right" vertical="center"/>
    </xf>
    <xf numFmtId="167" fontId="9" fillId="0" borderId="0" xfId="64" applyNumberFormat="1"/>
    <xf numFmtId="3" fontId="29" fillId="0" borderId="0" xfId="64" applyNumberFormat="1" applyFont="1" applyAlignment="1">
      <alignment vertical="center"/>
    </xf>
    <xf numFmtId="0" fontId="59" fillId="0" borderId="0" xfId="64" applyFont="1" applyAlignment="1">
      <alignment vertical="center" wrapText="1"/>
    </xf>
    <xf numFmtId="0" fontId="83" fillId="0" borderId="0" xfId="64" applyFont="1"/>
    <xf numFmtId="166" fontId="29" fillId="0" borderId="17" xfId="64" applyNumberFormat="1" applyFont="1" applyBorder="1" applyAlignment="1">
      <alignment horizontal="right" vertical="center" indent="1"/>
    </xf>
    <xf numFmtId="166" fontId="59" fillId="0" borderId="0" xfId="64" applyNumberFormat="1" applyFont="1" applyAlignment="1">
      <alignment horizontal="center" wrapText="1"/>
    </xf>
    <xf numFmtId="166" fontId="59" fillId="0" borderId="17" xfId="64" applyNumberFormat="1" applyFont="1" applyBorder="1" applyAlignment="1">
      <alignment horizontal="center" wrapText="1"/>
    </xf>
    <xf numFmtId="0" fontId="70" fillId="0" borderId="0" xfId="64" applyFont="1" applyAlignment="1">
      <alignment horizontal="left" vertical="center" wrapText="1" indent="2"/>
    </xf>
    <xf numFmtId="166" fontId="70" fillId="0" borderId="0" xfId="64" applyNumberFormat="1" applyFont="1" applyAlignment="1">
      <alignment horizontal="right"/>
    </xf>
    <xf numFmtId="166" fontId="70" fillId="0" borderId="0" xfId="64" applyNumberFormat="1" applyFont="1" applyAlignment="1">
      <alignment horizontal="right" vertical="center" indent="1"/>
    </xf>
    <xf numFmtId="166" fontId="70" fillId="0" borderId="17" xfId="64" applyNumberFormat="1" applyFont="1" applyBorder="1" applyAlignment="1">
      <alignment horizontal="right" vertical="center" indent="1"/>
    </xf>
    <xf numFmtId="0" fontId="70" fillId="0" borderId="0" xfId="64" applyFont="1" applyAlignment="1">
      <alignment vertical="center" wrapText="1"/>
    </xf>
    <xf numFmtId="166" fontId="59" fillId="0" borderId="0" xfId="64" applyNumberFormat="1" applyFont="1" applyAlignment="1">
      <alignment horizontal="right"/>
    </xf>
    <xf numFmtId="166" fontId="59" fillId="0" borderId="0" xfId="64" applyNumberFormat="1" applyFont="1" applyAlignment="1">
      <alignment horizontal="right" vertical="center" indent="1"/>
    </xf>
    <xf numFmtId="166" fontId="59" fillId="0" borderId="17" xfId="64" applyNumberFormat="1" applyFont="1" applyBorder="1" applyAlignment="1">
      <alignment horizontal="right" vertical="center" indent="1"/>
    </xf>
    <xf numFmtId="166" fontId="30" fillId="0" borderId="17" xfId="64" applyNumberFormat="1" applyFont="1" applyBorder="1" applyAlignment="1">
      <alignment horizontal="right" vertical="center" indent="1"/>
    </xf>
    <xf numFmtId="0" fontId="84" fillId="0" borderId="0" xfId="64" applyFont="1"/>
    <xf numFmtId="166" fontId="30" fillId="0" borderId="0" xfId="64" applyNumberFormat="1" applyFont="1" applyAlignment="1">
      <alignment horizontal="right" vertical="center" indent="1"/>
    </xf>
    <xf numFmtId="0" fontId="85" fillId="0" borderId="0" xfId="64" applyFont="1"/>
    <xf numFmtId="166" fontId="30" fillId="0" borderId="22" xfId="64" applyNumberFormat="1" applyFont="1" applyBorder="1" applyAlignment="1">
      <alignment horizontal="right" vertical="center" indent="1"/>
    </xf>
    <xf numFmtId="166" fontId="59" fillId="0" borderId="0" xfId="64" applyNumberFormat="1" applyFont="1" applyAlignment="1">
      <alignment horizontal="right" vertical="top"/>
    </xf>
    <xf numFmtId="166" fontId="59" fillId="0" borderId="22" xfId="64" applyNumberFormat="1" applyFont="1" applyBorder="1" applyAlignment="1">
      <alignment horizontal="right" vertical="center" indent="1"/>
    </xf>
    <xf numFmtId="166" fontId="70" fillId="0" borderId="0" xfId="64" applyNumberFormat="1" applyFont="1"/>
    <xf numFmtId="9" fontId="65" fillId="48" borderId="22" xfId="80" quotePrefix="1" applyFont="1" applyFill="1" applyBorder="1" applyAlignment="1">
      <alignment horizontal="right"/>
    </xf>
    <xf numFmtId="1" fontId="62" fillId="44" borderId="22" xfId="64" applyNumberFormat="1" applyFont="1" applyFill="1" applyBorder="1" applyAlignment="1">
      <alignment horizontal="center" vertical="center" wrapText="1"/>
    </xf>
    <xf numFmtId="9" fontId="35" fillId="44" borderId="24" xfId="80" quotePrefix="1" applyFont="1" applyFill="1" applyBorder="1" applyAlignment="1">
      <alignment horizontal="right" vertical="center" indent="1"/>
    </xf>
    <xf numFmtId="167" fontId="65" fillId="0" borderId="0" xfId="64" applyNumberFormat="1" applyFont="1" applyAlignment="1">
      <alignment horizontal="left" vertical="top"/>
    </xf>
    <xf numFmtId="2" fontId="33" fillId="0" borderId="24" xfId="64" applyNumberFormat="1" applyFont="1" applyBorder="1" applyAlignment="1">
      <alignment horizontal="right" vertical="center" indent="1"/>
    </xf>
    <xf numFmtId="167" fontId="30" fillId="48" borderId="23" xfId="64" applyNumberFormat="1" applyFont="1" applyFill="1" applyBorder="1" applyAlignment="1">
      <alignment horizontal="right" vertical="center" indent="1"/>
    </xf>
    <xf numFmtId="171" fontId="33" fillId="44" borderId="24" xfId="64" applyNumberFormat="1" applyFont="1" applyFill="1" applyBorder="1" applyAlignment="1">
      <alignment horizontal="right" vertical="center" indent="1"/>
    </xf>
    <xf numFmtId="167" fontId="35" fillId="44" borderId="24" xfId="64" applyNumberFormat="1" applyFont="1" applyFill="1" applyBorder="1" applyAlignment="1">
      <alignment horizontal="right" vertical="center" indent="1"/>
    </xf>
    <xf numFmtId="167" fontId="35" fillId="44" borderId="21" xfId="64" applyNumberFormat="1" applyFont="1" applyFill="1" applyBorder="1" applyAlignment="1">
      <alignment horizontal="right" vertical="center" indent="1"/>
    </xf>
    <xf numFmtId="0" fontId="62" fillId="44" borderId="0" xfId="64" applyFont="1" applyFill="1" applyAlignment="1">
      <alignment vertical="center" wrapText="1"/>
    </xf>
    <xf numFmtId="0" fontId="0" fillId="44" borderId="0" xfId="0" applyFill="1"/>
    <xf numFmtId="3" fontId="30" fillId="48" borderId="29" xfId="64" applyNumberFormat="1" applyFont="1" applyFill="1" applyBorder="1" applyAlignment="1">
      <alignment horizontal="right" vertical="center" indent="1"/>
    </xf>
    <xf numFmtId="167" fontId="78" fillId="0" borderId="0" xfId="64" applyNumberFormat="1" applyFont="1"/>
    <xf numFmtId="4" fontId="30" fillId="48" borderId="23" xfId="64" applyNumberFormat="1" applyFont="1" applyFill="1" applyBorder="1" applyAlignment="1">
      <alignment horizontal="right" vertical="center" indent="1"/>
    </xf>
    <xf numFmtId="4" fontId="30" fillId="48" borderId="20" xfId="64" applyNumberFormat="1" applyFont="1" applyFill="1" applyBorder="1" applyAlignment="1">
      <alignment horizontal="right" vertical="center" indent="1"/>
    </xf>
    <xf numFmtId="165" fontId="71" fillId="48" borderId="17" xfId="0" applyNumberFormat="1" applyFont="1" applyFill="1" applyBorder="1" applyAlignment="1">
      <alignment horizontal="right"/>
    </xf>
    <xf numFmtId="168" fontId="71" fillId="48" borderId="17" xfId="0" quotePrefix="1" applyNumberFormat="1" applyFont="1" applyFill="1" applyBorder="1" applyAlignment="1">
      <alignment horizontal="right"/>
    </xf>
    <xf numFmtId="165" fontId="65" fillId="48" borderId="22" xfId="80" quotePrefix="1" applyNumberFormat="1" applyFont="1" applyFill="1" applyBorder="1" applyAlignment="1">
      <alignment horizontal="right"/>
    </xf>
    <xf numFmtId="167" fontId="53" fillId="48" borderId="17" xfId="64" applyNumberFormat="1" applyFont="1" applyFill="1" applyBorder="1" applyAlignment="1">
      <alignment horizontal="right" vertical="center" indent="1"/>
    </xf>
    <xf numFmtId="168" fontId="65" fillId="0" borderId="0" xfId="0" quotePrefix="1" applyNumberFormat="1" applyFont="1" applyAlignment="1">
      <alignment horizontal="right"/>
    </xf>
    <xf numFmtId="0" fontId="65" fillId="44" borderId="0" xfId="0" applyFont="1" applyFill="1"/>
    <xf numFmtId="168" fontId="65" fillId="44" borderId="0" xfId="0" applyNumberFormat="1" applyFont="1" applyFill="1"/>
    <xf numFmtId="0" fontId="75" fillId="44" borderId="0" xfId="0" applyFont="1" applyFill="1"/>
    <xf numFmtId="0" fontId="65" fillId="44" borderId="0" xfId="0" applyFont="1" applyFill="1" applyAlignment="1">
      <alignment horizontal="center"/>
    </xf>
    <xf numFmtId="0" fontId="33" fillId="44" borderId="0" xfId="0" applyFont="1" applyFill="1"/>
    <xf numFmtId="0" fontId="86" fillId="44" borderId="0" xfId="0" applyFont="1" applyFill="1"/>
    <xf numFmtId="0" fontId="63" fillId="44" borderId="0" xfId="0" applyFont="1" applyFill="1"/>
    <xf numFmtId="168" fontId="75" fillId="44" borderId="0" xfId="0" applyNumberFormat="1" applyFont="1" applyFill="1"/>
    <xf numFmtId="0" fontId="65" fillId="44" borderId="0" xfId="0" quotePrefix="1" applyFont="1" applyFill="1" applyAlignment="1">
      <alignment horizontal="center"/>
    </xf>
    <xf numFmtId="0" fontId="75" fillId="44" borderId="0" xfId="0" applyFont="1" applyFill="1" applyAlignment="1">
      <alignment horizontal="right"/>
    </xf>
    <xf numFmtId="3" fontId="75" fillId="44" borderId="0" xfId="0" applyNumberFormat="1" applyFont="1" applyFill="1"/>
    <xf numFmtId="3" fontId="70" fillId="48" borderId="17" xfId="64" applyNumberFormat="1" applyFont="1" applyFill="1" applyBorder="1" applyAlignment="1">
      <alignment horizontal="right" vertical="center" indent="1"/>
    </xf>
    <xf numFmtId="2" fontId="70" fillId="48" borderId="17" xfId="64" applyNumberFormat="1" applyFont="1" applyFill="1" applyBorder="1" applyAlignment="1">
      <alignment horizontal="right" vertical="center" indent="1"/>
    </xf>
    <xf numFmtId="9" fontId="63" fillId="48" borderId="22" xfId="80" quotePrefix="1" applyFont="1" applyFill="1" applyBorder="1" applyAlignment="1">
      <alignment horizontal="right"/>
    </xf>
    <xf numFmtId="0" fontId="33" fillId="0" borderId="24" xfId="64" applyFont="1" applyBorder="1" applyAlignment="1">
      <alignment horizontal="right" vertical="center" indent="1"/>
    </xf>
    <xf numFmtId="9" fontId="29" fillId="0" borderId="0" xfId="79" applyFont="1"/>
    <xf numFmtId="3" fontId="30" fillId="0" borderId="0" xfId="64" applyNumberFormat="1" applyFont="1"/>
    <xf numFmtId="167" fontId="30" fillId="48" borderId="22" xfId="64" applyNumberFormat="1" applyFont="1" applyFill="1" applyBorder="1" applyAlignment="1">
      <alignment horizontal="right" vertical="center" indent="1"/>
    </xf>
    <xf numFmtId="0" fontId="30" fillId="0" borderId="0" xfId="64" applyFont="1" applyAlignment="1">
      <alignment horizontal="center" wrapText="1"/>
    </xf>
    <xf numFmtId="0" fontId="90" fillId="0" borderId="30" xfId="64" applyFont="1" applyBorder="1" applyAlignment="1">
      <alignment vertical="center" wrapText="1"/>
    </xf>
    <xf numFmtId="0" fontId="29" fillId="0" borderId="30" xfId="64" applyFont="1" applyBorder="1" applyAlignment="1">
      <alignment vertical="center" wrapText="1"/>
    </xf>
    <xf numFmtId="0" fontId="62" fillId="0" borderId="30" xfId="0" applyFont="1" applyBorder="1" applyAlignment="1">
      <alignment vertical="center" wrapText="1"/>
    </xf>
    <xf numFmtId="0" fontId="90" fillId="0" borderId="30" xfId="0" applyFont="1" applyBorder="1" applyAlignment="1">
      <alignment horizontal="left" vertical="center"/>
    </xf>
    <xf numFmtId="0" fontId="30" fillId="0" borderId="30" xfId="0" applyFont="1" applyBorder="1" applyAlignment="1">
      <alignment vertical="center" wrapText="1"/>
    </xf>
    <xf numFmtId="0" fontId="90" fillId="0" borderId="30" xfId="64" applyFont="1" applyBorder="1" applyAlignment="1">
      <alignment horizontal="left" vertical="center" wrapText="1" indent="2"/>
    </xf>
    <xf numFmtId="0" fontId="90" fillId="49" borderId="30" xfId="64"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30" fillId="49" borderId="30" xfId="0" applyFont="1" applyFill="1" applyBorder="1" applyAlignment="1">
      <alignment vertical="center" wrapText="1"/>
    </xf>
    <xf numFmtId="0" fontId="29" fillId="50" borderId="31" xfId="0" applyFont="1" applyFill="1" applyBorder="1" applyAlignment="1">
      <alignment horizontal="left" vertical="center" wrapText="1" indent="2"/>
    </xf>
    <xf numFmtId="0" fontId="29" fillId="0" borderId="30" xfId="64" applyFont="1" applyBorder="1" applyAlignment="1">
      <alignment horizontal="left" vertical="center" wrapText="1" indent="2"/>
    </xf>
    <xf numFmtId="0" fontId="29" fillId="49" borderId="30" xfId="64" applyFont="1" applyFill="1" applyBorder="1" applyAlignment="1">
      <alignment horizontal="left" vertical="center" wrapText="1" indent="2"/>
    </xf>
    <xf numFmtId="0" fontId="29" fillId="0" borderId="30" xfId="0" applyFont="1" applyBorder="1" applyAlignment="1">
      <alignment vertical="center" wrapText="1"/>
    </xf>
    <xf numFmtId="0" fontId="30" fillId="0" borderId="30" xfId="0" applyFont="1" applyBorder="1" applyAlignment="1">
      <alignment vertical="center"/>
    </xf>
    <xf numFmtId="0" fontId="30" fillId="49" borderId="30" xfId="64" applyFont="1" applyFill="1" applyBorder="1" applyAlignment="1">
      <alignment vertical="center"/>
    </xf>
    <xf numFmtId="0" fontId="90" fillId="0" borderId="30" xfId="0" applyFont="1" applyBorder="1" applyAlignment="1">
      <alignment vertical="center" wrapText="1"/>
    </xf>
    <xf numFmtId="0" fontId="91" fillId="49" borderId="0" xfId="0" applyFont="1" applyFill="1" applyAlignment="1">
      <alignment horizontal="center" vertical="center" wrapText="1"/>
    </xf>
    <xf numFmtId="0" fontId="93" fillId="0" borderId="0" xfId="0" applyFont="1" applyAlignment="1">
      <alignment horizontal="center" vertical="center" wrapText="1"/>
    </xf>
    <xf numFmtId="0" fontId="64" fillId="0" borderId="30" xfId="0" applyFont="1" applyBorder="1" applyAlignment="1">
      <alignment horizontal="left" vertical="top"/>
    </xf>
    <xf numFmtId="0" fontId="91" fillId="0" borderId="30" xfId="0" applyFont="1" applyBorder="1" applyAlignment="1">
      <alignment horizontal="left" vertical="top"/>
    </xf>
    <xf numFmtId="0" fontId="33" fillId="0" borderId="34" xfId="64" applyFont="1" applyBorder="1" applyAlignment="1">
      <alignment horizontal="left" vertical="top"/>
    </xf>
    <xf numFmtId="0" fontId="64" fillId="0" borderId="30" xfId="0" applyFont="1" applyBorder="1" applyAlignment="1">
      <alignment horizontal="left" vertical="top" wrapText="1"/>
    </xf>
    <xf numFmtId="0" fontId="91" fillId="0" borderId="32" xfId="0" applyFont="1" applyBorder="1" applyAlignment="1">
      <alignment horizontal="left" vertical="top"/>
    </xf>
    <xf numFmtId="0" fontId="64" fillId="0" borderId="33" xfId="64" applyFont="1" applyBorder="1" applyAlignment="1">
      <alignment horizontal="left" vertical="top"/>
    </xf>
    <xf numFmtId="0" fontId="33" fillId="0" borderId="30" xfId="0" applyFont="1" applyBorder="1" applyAlignment="1">
      <alignment horizontal="left" vertical="top"/>
    </xf>
    <xf numFmtId="0" fontId="91" fillId="0" borderId="30" xfId="0" applyFont="1" applyBorder="1" applyAlignment="1">
      <alignment vertical="top" wrapText="1"/>
    </xf>
    <xf numFmtId="0" fontId="64" fillId="0" borderId="30" xfId="0" applyFont="1" applyBorder="1" applyAlignment="1">
      <alignment vertical="top"/>
    </xf>
    <xf numFmtId="0" fontId="33" fillId="0" borderId="30" xfId="0" applyFont="1" applyBorder="1" applyAlignment="1">
      <alignment horizontal="left" vertical="top" wrapText="1"/>
    </xf>
    <xf numFmtId="0" fontId="64" fillId="0" borderId="34" xfId="0" applyFont="1" applyBorder="1" applyAlignment="1">
      <alignment horizontal="left" vertical="top"/>
    </xf>
    <xf numFmtId="0" fontId="64" fillId="0" borderId="34" xfId="64" applyFont="1" applyBorder="1" applyAlignment="1">
      <alignment horizontal="left" vertical="top"/>
    </xf>
    <xf numFmtId="0" fontId="91" fillId="0" borderId="34" xfId="64" applyFont="1" applyBorder="1" applyAlignment="1">
      <alignment horizontal="left" vertical="top"/>
    </xf>
    <xf numFmtId="0" fontId="91" fillId="0" borderId="30" xfId="0" applyFont="1" applyBorder="1" applyAlignment="1">
      <alignment vertical="top"/>
    </xf>
    <xf numFmtId="167" fontId="30" fillId="0" borderId="30" xfId="64" applyNumberFormat="1" applyFont="1" applyBorder="1" applyAlignment="1">
      <alignment vertical="center"/>
    </xf>
    <xf numFmtId="0" fontId="29" fillId="0" borderId="30" xfId="64" applyFont="1" applyBorder="1" applyAlignment="1">
      <alignment horizontal="left" vertical="center" indent="2"/>
    </xf>
    <xf numFmtId="167" fontId="29" fillId="0" borderId="30" xfId="64" applyNumberFormat="1" applyFont="1" applyBorder="1" applyAlignment="1">
      <alignment vertical="center"/>
    </xf>
    <xf numFmtId="167" fontId="62" fillId="0" borderId="30" xfId="64" applyNumberFormat="1" applyFont="1" applyBorder="1" applyAlignment="1">
      <alignment vertical="center"/>
    </xf>
    <xf numFmtId="0" fontId="29" fillId="0" borderId="32" xfId="64" applyFont="1" applyBorder="1" applyAlignment="1">
      <alignment horizontal="left" vertical="center" indent="2"/>
    </xf>
    <xf numFmtId="167" fontId="62" fillId="0" borderId="32" xfId="64" applyNumberFormat="1" applyFont="1" applyBorder="1" applyAlignment="1">
      <alignment vertical="center"/>
    </xf>
    <xf numFmtId="167" fontId="29" fillId="49" borderId="30" xfId="64" applyNumberFormat="1" applyFont="1" applyFill="1" applyBorder="1" applyAlignment="1">
      <alignment vertical="center"/>
    </xf>
    <xf numFmtId="167" fontId="62" fillId="0" borderId="32" xfId="64" applyNumberFormat="1" applyFont="1" applyBorder="1" applyAlignment="1">
      <alignment vertical="center" wrapText="1"/>
    </xf>
    <xf numFmtId="167" fontId="29" fillId="0" borderId="30" xfId="64" applyNumberFormat="1" applyFont="1" applyBorder="1" applyAlignment="1">
      <alignment horizontal="left" vertical="center" indent="2"/>
    </xf>
    <xf numFmtId="0" fontId="29" fillId="0" borderId="30" xfId="0" applyFont="1" applyBorder="1" applyAlignment="1">
      <alignment horizontal="left" vertical="center" indent="2"/>
    </xf>
    <xf numFmtId="0" fontId="62" fillId="0" borderId="32" xfId="0" applyFont="1" applyBorder="1" applyAlignment="1">
      <alignment vertical="center" wrapText="1"/>
    </xf>
    <xf numFmtId="0" fontId="95" fillId="0" borderId="30" xfId="64" applyFont="1" applyBorder="1" applyAlignment="1">
      <alignment vertical="center" wrapText="1"/>
    </xf>
    <xf numFmtId="0" fontId="36" fillId="0" borderId="0" xfId="0" applyFont="1" applyAlignment="1">
      <alignment horizontal="center" wrapText="1"/>
    </xf>
    <xf numFmtId="0" fontId="62" fillId="0" borderId="0" xfId="0" applyFont="1" applyAlignment="1">
      <alignment vertical="center"/>
    </xf>
    <xf numFmtId="0" fontId="96" fillId="0" borderId="0" xfId="64" applyFont="1" applyAlignment="1">
      <alignment horizontal="left"/>
    </xf>
    <xf numFmtId="167" fontId="30" fillId="0" borderId="35" xfId="64" applyNumberFormat="1" applyFont="1" applyBorder="1" applyAlignment="1">
      <alignment vertical="center"/>
    </xf>
    <xf numFmtId="167" fontId="96" fillId="0" borderId="35" xfId="64" applyNumberFormat="1" applyFont="1" applyBorder="1" applyAlignment="1">
      <alignment vertical="center"/>
    </xf>
    <xf numFmtId="0" fontId="97" fillId="0" borderId="0" xfId="64" applyFont="1" applyAlignment="1">
      <alignment vertical="center" wrapText="1"/>
    </xf>
    <xf numFmtId="0" fontId="62" fillId="0" borderId="0" xfId="0" applyFont="1" applyAlignment="1">
      <alignment vertical="center" wrapText="1"/>
    </xf>
    <xf numFmtId="0" fontId="90" fillId="0" borderId="30" xfId="0" applyFont="1" applyBorder="1" applyAlignment="1">
      <alignment horizontal="left" vertical="center" wrapText="1" indent="2"/>
    </xf>
    <xf numFmtId="0" fontId="92" fillId="0" borderId="0" xfId="64" applyFont="1" applyAlignment="1">
      <alignment horizontal="left" vertical="center" wrapText="1" shrinkToFit="1"/>
    </xf>
    <xf numFmtId="0" fontId="64" fillId="0" borderId="32" xfId="0" applyFont="1" applyBorder="1"/>
    <xf numFmtId="0" fontId="91" fillId="0" borderId="36" xfId="64" applyFont="1" applyBorder="1"/>
    <xf numFmtId="0" fontId="98" fillId="0" borderId="0" xfId="64" applyFont="1" applyAlignment="1">
      <alignment vertical="center"/>
    </xf>
    <xf numFmtId="0" fontId="98" fillId="0" borderId="0" xfId="64" applyFont="1"/>
    <xf numFmtId="0" fontId="98" fillId="0" borderId="0" xfId="0" applyFont="1"/>
    <xf numFmtId="0" fontId="33" fillId="0" borderId="30" xfId="0" applyFont="1" applyBorder="1"/>
    <xf numFmtId="0" fontId="33" fillId="0" borderId="30" xfId="0" quotePrefix="1" applyFont="1" applyBorder="1"/>
    <xf numFmtId="174" fontId="64" fillId="0" borderId="13" xfId="0" applyNumberFormat="1" applyFont="1" applyBorder="1" applyAlignment="1">
      <alignment horizontal="right"/>
    </xf>
    <xf numFmtId="174" fontId="64" fillId="0" borderId="13" xfId="0" quotePrefix="1" applyNumberFormat="1" applyFont="1" applyBorder="1" applyAlignment="1">
      <alignment horizontal="right"/>
    </xf>
    <xf numFmtId="17" fontId="64" fillId="0" borderId="13" xfId="0" quotePrefix="1" applyNumberFormat="1" applyFont="1" applyBorder="1" applyAlignment="1">
      <alignment horizontal="right"/>
    </xf>
    <xf numFmtId="0" fontId="92" fillId="0" borderId="0" xfId="64" applyFont="1" applyAlignment="1">
      <alignment horizontal="left" vertical="center" wrapText="1"/>
    </xf>
    <xf numFmtId="0" fontId="91" fillId="0" borderId="36" xfId="0" applyFont="1" applyBorder="1"/>
    <xf numFmtId="0" fontId="92" fillId="0" borderId="36" xfId="64" applyFont="1" applyBorder="1"/>
    <xf numFmtId="0" fontId="64" fillId="0" borderId="30" xfId="64" applyFont="1" applyBorder="1"/>
    <xf numFmtId="0" fontId="98" fillId="0" borderId="0" xfId="64" applyFont="1" applyAlignment="1">
      <alignment vertical="center" wrapText="1"/>
    </xf>
    <xf numFmtId="0" fontId="35" fillId="0" borderId="0" xfId="0" applyFont="1" applyAlignment="1">
      <alignment horizontal="center" vertical="center" wrapText="1"/>
    </xf>
    <xf numFmtId="0" fontId="29" fillId="48" borderId="24" xfId="64" applyFont="1" applyFill="1" applyBorder="1" applyAlignment="1">
      <alignment horizontal="right" vertical="center" indent="1"/>
    </xf>
    <xf numFmtId="9" fontId="71" fillId="48" borderId="17" xfId="0" quotePrefix="1" applyNumberFormat="1" applyFont="1" applyFill="1" applyBorder="1" applyAlignment="1">
      <alignment horizontal="right"/>
    </xf>
    <xf numFmtId="0" fontId="87" fillId="0" borderId="14" xfId="70" applyFont="1" applyBorder="1" applyAlignment="1">
      <alignment horizontal="center" vertical="top" wrapText="1"/>
    </xf>
    <xf numFmtId="0" fontId="88" fillId="0" borderId="15" xfId="70" applyFont="1" applyBorder="1" applyAlignment="1">
      <alignment horizontal="center" vertical="top" wrapText="1"/>
    </xf>
    <xf numFmtId="0" fontId="88" fillId="0" borderId="16" xfId="70" applyFont="1" applyBorder="1" applyAlignment="1">
      <alignment horizontal="center" vertical="top" wrapText="1"/>
    </xf>
    <xf numFmtId="0" fontId="40" fillId="0" borderId="14" xfId="70" applyFont="1" applyBorder="1" applyAlignment="1">
      <alignment horizontal="center" vertical="top" wrapText="1"/>
    </xf>
    <xf numFmtId="0" fontId="39" fillId="0" borderId="15" xfId="70" applyFont="1" applyBorder="1" applyAlignment="1">
      <alignment horizontal="center" vertical="top" wrapText="1"/>
    </xf>
    <xf numFmtId="0" fontId="39" fillId="0" borderId="16" xfId="70" applyFont="1" applyBorder="1" applyAlignment="1">
      <alignment horizontal="center" vertical="top" wrapText="1"/>
    </xf>
    <xf numFmtId="0" fontId="29" fillId="0" borderId="0" xfId="64" applyFont="1" applyAlignment="1">
      <alignment horizontal="left" wrapText="1"/>
    </xf>
    <xf numFmtId="0" fontId="33" fillId="0" borderId="0" xfId="64" applyFont="1" applyAlignment="1">
      <alignment horizontal="left" vertical="top" wrapText="1"/>
    </xf>
    <xf numFmtId="0" fontId="91" fillId="49" borderId="0" xfId="0" applyFont="1" applyFill="1" applyAlignment="1">
      <alignment horizontal="center" vertical="center" wrapText="1"/>
    </xf>
    <xf numFmtId="0" fontId="91" fillId="49" borderId="0" xfId="64" applyFont="1" applyFill="1" applyAlignment="1">
      <alignment horizontal="left" vertical="top" wrapText="1"/>
    </xf>
    <xf numFmtId="0" fontId="92" fillId="49" borderId="30" xfId="0" applyFont="1" applyFill="1" applyBorder="1" applyAlignment="1">
      <alignment horizontal="center" vertical="center" wrapText="1"/>
    </xf>
    <xf numFmtId="0" fontId="33" fillId="44" borderId="0" xfId="64" applyFont="1" applyFill="1" applyAlignment="1">
      <alignment horizontal="left" vertical="top" wrapText="1"/>
    </xf>
    <xf numFmtId="0" fontId="91" fillId="49" borderId="33" xfId="0" applyFont="1" applyFill="1" applyBorder="1" applyAlignment="1">
      <alignment horizontal="center" vertical="center" wrapText="1"/>
    </xf>
    <xf numFmtId="0" fontId="92" fillId="49" borderId="32" xfId="0" applyFont="1" applyFill="1" applyBorder="1" applyAlignment="1">
      <alignment horizontal="center" vertical="center" wrapText="1"/>
    </xf>
    <xf numFmtId="2" fontId="63" fillId="45" borderId="24" xfId="64" applyNumberFormat="1" applyFont="1" applyFill="1" applyBorder="1" applyAlignment="1">
      <alignment horizontal="center" vertical="center"/>
    </xf>
    <xf numFmtId="0" fontId="91" fillId="0" borderId="0" xfId="64" applyFont="1" applyAlignment="1">
      <alignment horizontal="left" vertical="top" wrapText="1"/>
    </xf>
    <xf numFmtId="0" fontId="94" fillId="0" borderId="0" xfId="64" applyFont="1" applyAlignment="1">
      <alignment horizontal="center" wrapText="1"/>
    </xf>
    <xf numFmtId="0" fontId="29" fillId="0" borderId="30" xfId="0" applyFont="1" applyBorder="1" applyAlignment="1">
      <alignment vertical="center" wrapText="1"/>
    </xf>
    <xf numFmtId="0" fontId="62" fillId="0" borderId="0" xfId="64" applyFont="1" applyAlignment="1">
      <alignment vertical="center" wrapText="1"/>
    </xf>
    <xf numFmtId="0" fontId="29" fillId="0" borderId="30" xfId="0" applyFont="1" applyBorder="1" applyAlignment="1">
      <alignment horizontal="left" vertical="center" wrapText="1"/>
    </xf>
    <xf numFmtId="0" fontId="62" fillId="0" borderId="30" xfId="0" applyFont="1" applyBorder="1" applyAlignment="1">
      <alignment vertical="center" wrapText="1"/>
    </xf>
    <xf numFmtId="0" fontId="62" fillId="0" borderId="32" xfId="0" applyFont="1" applyBorder="1" applyAlignment="1">
      <alignment horizontal="left" vertical="center" wrapText="1"/>
    </xf>
    <xf numFmtId="0" fontId="62" fillId="0" borderId="32" xfId="0" applyFont="1" applyBorder="1" applyAlignment="1">
      <alignment vertical="center" wrapText="1"/>
    </xf>
    <xf numFmtId="0" fontId="29" fillId="0" borderId="30" xfId="0" applyFont="1" applyBorder="1" applyAlignment="1">
      <alignment vertical="center"/>
    </xf>
  </cellXfs>
  <cellStyles count="132">
    <cellStyle name="20% - Accent1" xfId="1" xr:uid="{CC1F6A7F-FCEF-4AAA-B012-D8906D8DD887}"/>
    <cellStyle name="20% - Accent2" xfId="2" xr:uid="{7BD31B83-E215-4F3C-B632-DA54EF1D2806}"/>
    <cellStyle name="20% - Accent3" xfId="3" xr:uid="{9C6A5DAD-3064-41B7-B47C-AC9C2CE41E9E}"/>
    <cellStyle name="20% - Accent4" xfId="4" xr:uid="{09AA5703-7A75-490F-961E-113DE273193F}"/>
    <cellStyle name="20% - Accent5" xfId="5" xr:uid="{2D99A275-C759-434F-B950-C14692BCDCF1}"/>
    <cellStyle name="20% - Accent6" xfId="6" xr:uid="{96D0962B-AD18-41B2-84C4-F4F44955575D}"/>
    <cellStyle name="40% - Accent1" xfId="7" xr:uid="{D5E8A506-3C42-4765-B95F-866BD4445E1E}"/>
    <cellStyle name="40% - Accent2" xfId="8" xr:uid="{95AD8BA7-475C-4296-9B8A-DBEC4EA8FA74}"/>
    <cellStyle name="40% - Accent3" xfId="9" xr:uid="{F79DF038-91FF-4338-A878-7BD51FC4D5E1}"/>
    <cellStyle name="40% - Accent4" xfId="10" xr:uid="{286121D4-2D55-4CFD-933F-151A0500C0E4}"/>
    <cellStyle name="40% - Accent5" xfId="11" xr:uid="{55D7E629-01EB-40B7-8375-EBAE0D5D8BBA}"/>
    <cellStyle name="40% - Accent6" xfId="12" xr:uid="{8A0B9AC8-EA3D-4780-95D9-30136F033925}"/>
    <cellStyle name="60% - Accent1" xfId="13" xr:uid="{7BBD45FD-E634-4F6E-900C-949CC6A4F8A5}"/>
    <cellStyle name="60% - Accent2" xfId="14" xr:uid="{4F9F921D-F187-40DF-B360-784AB8A88798}"/>
    <cellStyle name="60% - Accent3" xfId="15" xr:uid="{ADB059C0-837B-48FB-A6D4-5FC94FEE4AC1}"/>
    <cellStyle name="60% - Accent4" xfId="16" xr:uid="{A7908219-5BC2-4F7B-856C-4A23155D3243}"/>
    <cellStyle name="60% - Accent5" xfId="17" xr:uid="{5FC8C803-E6FE-47DB-BA83-189DE98F3716}"/>
    <cellStyle name="60% - Accent6" xfId="18" xr:uid="{616DD4E7-0909-4AB8-BF92-6A9659A818F5}"/>
    <cellStyle name="Accent1" xfId="19" xr:uid="{2B2E3FF0-737B-4DE0-AA34-11526541463C}"/>
    <cellStyle name="Accent1 - 20%" xfId="20" xr:uid="{3880E48D-CB42-4D32-8123-93632AADC1E9}"/>
    <cellStyle name="Accent1 - 40%" xfId="21" xr:uid="{94FEECA7-0523-455E-9571-381C09611F63}"/>
    <cellStyle name="Accent1 - 60%" xfId="22" xr:uid="{E10667B3-A537-40EE-B061-5B664ECDAF68}"/>
    <cellStyle name="Accent1_Bilans" xfId="23" xr:uid="{038C7541-BD22-48E1-8A4E-1657B71082DD}"/>
    <cellStyle name="Accent2" xfId="24" xr:uid="{BE486E32-774F-4944-864F-F668177950E6}"/>
    <cellStyle name="Accent2 - 20%" xfId="25" xr:uid="{5D166BA4-3B1E-49BE-B629-D929FDEFBA97}"/>
    <cellStyle name="Accent2 - 40%" xfId="26" xr:uid="{27C41956-E407-45C7-B7AD-6F3ACCB68A8F}"/>
    <cellStyle name="Accent2 - 60%" xfId="27" xr:uid="{E5670617-0B0D-4898-8BEB-45DDC91548B9}"/>
    <cellStyle name="Accent2_Bilans" xfId="28" xr:uid="{F37782B9-EE50-4094-99E0-D6804F903203}"/>
    <cellStyle name="Accent3" xfId="29" xr:uid="{378FC42E-9129-41BF-96C8-7A00A12EC5F2}"/>
    <cellStyle name="Accent3 - 20%" xfId="30" xr:uid="{B877BAC9-54A3-409E-847C-A9AAE99D6228}"/>
    <cellStyle name="Accent3 - 40%" xfId="31" xr:uid="{745D35A1-C741-45EA-A17C-984C3687D6EC}"/>
    <cellStyle name="Accent3 - 60%" xfId="32" xr:uid="{38733183-5367-4223-9CB8-C0173154B457}"/>
    <cellStyle name="Accent3_Bilans" xfId="33" xr:uid="{D8925C35-5C04-4F58-AF7E-8A2F394C0A2C}"/>
    <cellStyle name="Accent4" xfId="34" xr:uid="{350CBFF4-F75D-4FB7-9796-B2A50A28D74C}"/>
    <cellStyle name="Accent4 - 20%" xfId="35" xr:uid="{FDB518D0-A80B-45B3-80CE-B6DE10768605}"/>
    <cellStyle name="Accent4 - 40%" xfId="36" xr:uid="{D32E75CC-9F89-4E6F-B01C-45C53E3F66BE}"/>
    <cellStyle name="Accent4 - 60%" xfId="37" xr:uid="{3FB93F57-C0E8-444C-9A3D-619C77DBF970}"/>
    <cellStyle name="Accent4_Bilans" xfId="38" xr:uid="{F052EDBD-CDC3-4492-A18F-FDC46D0CF1A9}"/>
    <cellStyle name="Accent5" xfId="39" xr:uid="{8262301B-5FE5-465E-B0DF-8B40BF8FD03F}"/>
    <cellStyle name="Accent5 - 20%" xfId="40" xr:uid="{701FD091-0963-4447-9B8E-824155DE08F0}"/>
    <cellStyle name="Accent5 - 40%" xfId="41" xr:uid="{B2385D05-07E6-4B66-8FF8-E28685AFBA37}"/>
    <cellStyle name="Accent5 - 60%" xfId="42" xr:uid="{55FDDAC3-45CA-4F05-95FE-2460147EA0FE}"/>
    <cellStyle name="Accent5_Bilans" xfId="43" xr:uid="{1FB3FEE9-D616-4356-884C-D45506460C43}"/>
    <cellStyle name="Accent6" xfId="44" xr:uid="{42A7A6B5-AF95-4C78-B1BE-289F833ED95E}"/>
    <cellStyle name="Accent6 - 20%" xfId="45" xr:uid="{FAD6A8AC-D806-45CB-AF7B-18415791AEC8}"/>
    <cellStyle name="Accent6 - 40%" xfId="46" xr:uid="{2E898034-3F45-4E4D-8F58-C1486A8556F2}"/>
    <cellStyle name="Accent6 - 60%" xfId="47" xr:uid="{6A98D05A-EF02-4054-A14B-B1FF90BC603C}"/>
    <cellStyle name="Accent6_Bilans" xfId="48" xr:uid="{000A634A-D161-457D-BE60-06561ED3A843}"/>
    <cellStyle name="Bad" xfId="49" xr:uid="{CB2540A0-3512-4F8D-83A8-2558C58E90C0}"/>
    <cellStyle name="Calculation" xfId="50" xr:uid="{3EF40EFE-9B91-44FD-AF68-46A79BD6E8B8}"/>
    <cellStyle name="Check Cell" xfId="51" xr:uid="{3B5D2737-DA4E-4933-8E2B-226F95BA5175}"/>
    <cellStyle name="Emphasis 1" xfId="52" xr:uid="{6F8CCB4B-EDCF-454A-B5ED-A3C7F78659DB}"/>
    <cellStyle name="Emphasis 2" xfId="53" xr:uid="{5E3DCB85-7A8B-40AA-82A2-119BB7457D06}"/>
    <cellStyle name="Emphasis 3" xfId="54" xr:uid="{F974A55D-7E91-46D8-BA73-6DFCCA31ADA0}"/>
    <cellStyle name="Explanatory Text" xfId="55" xr:uid="{E96511FA-1E2D-4084-BF02-6C3E02818329}"/>
    <cellStyle name="Good" xfId="56" xr:uid="{64141F68-A9EC-4FDA-B376-C5A3B445D359}"/>
    <cellStyle name="Heading 1" xfId="57" xr:uid="{37E930F1-0AAF-4EEA-8516-915E9C4C6DA3}"/>
    <cellStyle name="Heading 2" xfId="58" xr:uid="{CA14A74D-332B-4BA5-884C-0E7E4E13A1B7}"/>
    <cellStyle name="Heading 3" xfId="59" xr:uid="{B93243CD-2FB2-4713-94F4-77CB553A078C}"/>
    <cellStyle name="Heading 4" xfId="60" xr:uid="{F89AC26D-366A-4458-8A2A-1A6C12EC5D32}"/>
    <cellStyle name="Input" xfId="61" xr:uid="{E726C160-3905-4A12-98FB-13F07851F40F}"/>
    <cellStyle name="Linked Cell" xfId="62" xr:uid="{FA243F37-4CE3-45C5-AFA9-B1835C2625F6}"/>
    <cellStyle name="Neutral" xfId="63" xr:uid="{A8FF265D-1029-494F-9D77-D6FBCA61D862}"/>
    <cellStyle name="Normalny" xfId="0" builtinId="0"/>
    <cellStyle name="Normalny 2" xfId="64" xr:uid="{A5E93A3C-AA94-466E-8247-30780D323EBD}"/>
    <cellStyle name="Normalny 2 2" xfId="65" xr:uid="{CBA5E9CA-4602-4D5C-A5FB-CDB2DD1886C7}"/>
    <cellStyle name="Normalny 3" xfId="66" xr:uid="{20C23C7A-7B78-4DFF-A4E2-C69DA735D480}"/>
    <cellStyle name="Normalny 3 2" xfId="67" xr:uid="{FF50C29B-E3B1-4FC5-B9EC-AEE102836A7A}"/>
    <cellStyle name="Normalny 4" xfId="68" xr:uid="{6D7C77F2-40C4-4348-8891-EC4DEECFB8C3}"/>
    <cellStyle name="Normalny 4 2" xfId="69" xr:uid="{934E73EE-EB07-4575-AA79-510E5CD135E3}"/>
    <cellStyle name="Normalny 5" xfId="70" xr:uid="{D457FDA2-C802-4FF7-9A9E-9EDC96C695FA}"/>
    <cellStyle name="Normalny 6" xfId="71" xr:uid="{B78F256C-B9A5-49CB-BED8-994F3BE33AEB}"/>
    <cellStyle name="Normalny 7" xfId="72" xr:uid="{41452007-7864-48DF-B6FE-17151B8D068F}"/>
    <cellStyle name="Normalny 7 2" xfId="73" xr:uid="{8586E0A1-18C4-4C61-8B18-374378802B8A}"/>
    <cellStyle name="Normalny 8" xfId="74" xr:uid="{ECDFFD88-A972-4AB8-9121-DDA6C9412824}"/>
    <cellStyle name="Normalny 8 2" xfId="75" xr:uid="{C708F58E-59D7-4C3C-89F4-CB658BE78A28}"/>
    <cellStyle name="Normalny 8 3" xfId="76" xr:uid="{2FADFEC8-1083-4E13-B8F1-311EC06E7EDD}"/>
    <cellStyle name="Note" xfId="77" xr:uid="{F0CAFC56-C025-446C-90B0-7AC8F6E37644}"/>
    <cellStyle name="Output" xfId="78" xr:uid="{FE905A5C-A1E5-4CCC-B345-E463BF90709A}"/>
    <cellStyle name="Procentowy" xfId="79" builtinId="5"/>
    <cellStyle name="Procentowy 2" xfId="80" xr:uid="{7B0E6E2A-4843-47A3-8E2B-3A960738B424}"/>
    <cellStyle name="Procentowy 2 2" xfId="81" xr:uid="{72CEF31F-E967-4FBF-9EE4-21BB9B788072}"/>
    <cellStyle name="Procentowy 3" xfId="82" xr:uid="{FB033C84-326F-4C5C-9F4B-20189D3A2194}"/>
    <cellStyle name="Procentowy 3 2" xfId="83" xr:uid="{F29E3715-09F2-4A47-8C53-7C19BDE740F4}"/>
    <cellStyle name="Procentowy 4" xfId="84" xr:uid="{78569DC7-BAB0-4CF2-8EB1-55B26133E905}"/>
    <cellStyle name="Procentowy 5" xfId="85" xr:uid="{5FC3C408-AEF6-42BE-8E32-EB6BEFFF2B5E}"/>
    <cellStyle name="Procentowy 5 2" xfId="86" xr:uid="{1F3F2529-66EC-4777-8E8D-F0C395D8D924}"/>
    <cellStyle name="Procentowy 6" xfId="87" xr:uid="{0752A76A-0B2E-480D-AB53-94B975216B1F}"/>
    <cellStyle name="Procentowy 6 2" xfId="88" xr:uid="{97C8482D-C854-4B2C-80BC-19B43D4A7B73}"/>
    <cellStyle name="SAPBEXaggData" xfId="89" xr:uid="{EDAA958C-18B8-475A-B6D7-B509227910E8}"/>
    <cellStyle name="SAPBEXaggDataEmph" xfId="90" xr:uid="{A9EC84BD-90C4-4940-B25A-42D607230C26}"/>
    <cellStyle name="SAPBEXaggItem" xfId="91" xr:uid="{D8AE8354-F102-47F5-B3F5-DC21C1FACD60}"/>
    <cellStyle name="SAPBEXaggItemX" xfId="92" xr:uid="{DD691527-367E-4CEC-B9B4-7A308AD5F93F}"/>
    <cellStyle name="SAPBEXchaText" xfId="93" xr:uid="{1D8B1EEA-4893-459C-BFDE-16829A747207}"/>
    <cellStyle name="SAPBEXexcBad7" xfId="94" xr:uid="{B8DD85B8-910A-4B14-B2A7-055E55E1209D}"/>
    <cellStyle name="SAPBEXexcBad8" xfId="95" xr:uid="{9B197AC9-68F2-44A8-AF3B-249D561D9AA5}"/>
    <cellStyle name="SAPBEXexcBad9" xfId="96" xr:uid="{303E3296-2769-4E29-B1AC-D75D7954E97B}"/>
    <cellStyle name="SAPBEXexcCritical4" xfId="97" xr:uid="{12521CD7-1B9C-445F-BB9D-52153EAE5415}"/>
    <cellStyle name="SAPBEXexcCritical5" xfId="98" xr:uid="{AD4F3833-0D82-4602-9A62-E772DFB21AF8}"/>
    <cellStyle name="SAPBEXexcCritical6" xfId="99" xr:uid="{4F99ACC5-C344-41EC-8657-CA5EE5542015}"/>
    <cellStyle name="SAPBEXexcGood1" xfId="100" xr:uid="{BA2E8C5F-2162-438D-B65C-7631F2A81CF0}"/>
    <cellStyle name="SAPBEXexcGood2" xfId="101" xr:uid="{2006A68E-F4FD-41AE-8BC2-B8BCDEEF4F63}"/>
    <cellStyle name="SAPBEXexcGood3" xfId="102" xr:uid="{BD1B74A9-FC01-47AF-B161-68F88EB8540C}"/>
    <cellStyle name="SAPBEXfilterDrill" xfId="103" xr:uid="{8E3BD3FC-C461-4CD2-91B7-2A1DE79D39AC}"/>
    <cellStyle name="SAPBEXfilterItem" xfId="104" xr:uid="{C9BF2F40-2D46-4877-BB99-0E2763A8387D}"/>
    <cellStyle name="SAPBEXfilterText" xfId="105" xr:uid="{EB101EF1-2F3A-43A5-B258-3F90FC488529}"/>
    <cellStyle name="SAPBEXformats" xfId="106" xr:uid="{D2520F7B-FB55-4F8A-9DF5-F32D36DD7EBF}"/>
    <cellStyle name="SAPBEXheaderItem" xfId="107" xr:uid="{E929C582-49DB-406B-B404-B4AD3A047F88}"/>
    <cellStyle name="SAPBEXheaderText" xfId="108" xr:uid="{736E25CD-F2F0-4B10-B618-6F0C1C1F37B7}"/>
    <cellStyle name="SAPBEXHLevel0" xfId="109" xr:uid="{81741B41-877D-482A-865B-E8F39B857393}"/>
    <cellStyle name="SAPBEXHLevel0X" xfId="110" xr:uid="{FFC0D47B-1471-4442-AFDF-B5A6E6370906}"/>
    <cellStyle name="SAPBEXHLevel1" xfId="111" xr:uid="{62FF3ED9-908E-4E4F-8B10-445D026BFE96}"/>
    <cellStyle name="SAPBEXHLevel1X" xfId="112" xr:uid="{6F18E091-8B5B-4EA5-B338-BAA598A57007}"/>
    <cellStyle name="SAPBEXHLevel2" xfId="113" xr:uid="{BA4A3F56-BB73-47B4-83C3-8BDD8BD23D09}"/>
    <cellStyle name="SAPBEXHLevel2X" xfId="114" xr:uid="{E6583A9F-E3E1-4371-9F42-4B8CDCE113BF}"/>
    <cellStyle name="SAPBEXHLevel3" xfId="115" xr:uid="{CE023715-9316-42F4-8262-B606645B98F5}"/>
    <cellStyle name="SAPBEXHLevel3X" xfId="116" xr:uid="{9DA25C2E-4A48-496B-9704-A03129BF1803}"/>
    <cellStyle name="SAPBEXinputData" xfId="117" xr:uid="{50C44DF5-136C-4B29-AA19-85D616498091}"/>
    <cellStyle name="SAPBEXresData" xfId="118" xr:uid="{527DCD65-183F-4645-A155-4045D319A0E4}"/>
    <cellStyle name="SAPBEXresDataEmph" xfId="119" xr:uid="{0894B5AD-7565-4462-B472-54CBA3491468}"/>
    <cellStyle name="SAPBEXresItem" xfId="120" xr:uid="{FF9BBCAF-0025-4316-9F7D-FD39C9D99034}"/>
    <cellStyle name="SAPBEXresItemX" xfId="121" xr:uid="{4805AE3E-A4DB-43E3-83D8-A4E7D7FFC0CB}"/>
    <cellStyle name="SAPBEXstdData" xfId="122" xr:uid="{1946B00F-10B5-4A73-B8C2-8978D01D7AA5}"/>
    <cellStyle name="SAPBEXstdDataEmph" xfId="123" xr:uid="{99C58376-1E4C-42E3-98B2-570CDFDBE4DB}"/>
    <cellStyle name="SAPBEXstdItem" xfId="124" xr:uid="{1D570ED5-2B5D-4F65-881E-4E51D3FB1305}"/>
    <cellStyle name="SAPBEXstdItemX" xfId="125" xr:uid="{97EF27E3-12F0-4A2E-91F9-D6C34B08B828}"/>
    <cellStyle name="SAPBEXtitle" xfId="126" xr:uid="{94443622-DA88-4112-A85A-8465C6E9F353}"/>
    <cellStyle name="SAPBEXundefined" xfId="127" xr:uid="{32108910-1CDE-439C-A3F5-B45A431EF838}"/>
    <cellStyle name="Sheet Title" xfId="128" xr:uid="{4A950DC4-9578-483A-B074-AC54F2AC1857}"/>
    <cellStyle name="Title" xfId="129" xr:uid="{C10E8681-B23D-4913-8C79-1B828B3DEF8B}"/>
    <cellStyle name="Total" xfId="130" xr:uid="{D856F0B3-9D49-4487-B2E3-FE85B9A36863}"/>
    <cellStyle name="Warning Text" xfId="131" xr:uid="{25A2A732-2D94-4BB8-94C9-8A0E3F1EE542}"/>
  </cellStyles>
  <dxfs count="0"/>
  <tableStyles count="1" defaultTableStyle="TableStyleMedium9" defaultPivotStyle="PivotStyleLight16">
    <tableStyle name="Invisible" pivot="0" table="0" count="0" xr9:uid="{4E770811-D0B1-4FCF-A6C9-51C7B56D591F}"/>
  </tableStyles>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4</xdr:row>
      <xdr:rowOff>9525</xdr:rowOff>
    </xdr:from>
    <xdr:to>
      <xdr:col>12</xdr:col>
      <xdr:colOff>614516</xdr:colOff>
      <xdr:row>15</xdr:row>
      <xdr:rowOff>85725</xdr:rowOff>
    </xdr:to>
    <xdr:pic>
      <xdr:nvPicPr>
        <xdr:cNvPr id="33342" name="Obraz 1">
          <a:extLst>
            <a:ext uri="{FF2B5EF4-FFF2-40B4-BE49-F238E27FC236}">
              <a16:creationId xmlns:a16="http://schemas.microsoft.com/office/drawing/2014/main" id="{B8E2A877-1D6B-F610-09A1-E7CCBD38B1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657225"/>
          <a:ext cx="664845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F8FF6-BF33-4FDA-8344-BF5ACF639123}">
  <dimension ref="A1"/>
  <sheetViews>
    <sheetView workbookViewId="0"/>
  </sheetViews>
  <sheetFormatPr defaultRowHeight="12.75"/>
  <sheetData/>
  <phoneticPr fontId="0" type="noConversion"/>
  <pageMargins left="0.75" right="0.75" top="1" bottom="1" header="0.5" footer="0.5"/>
  <headerFooter alignWithMargins="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B722-1086-440C-8DC6-DD1520932AC2}">
  <sheetPr>
    <pageSetUpPr fitToPage="1"/>
  </sheetPr>
  <dimension ref="A1:BA52"/>
  <sheetViews>
    <sheetView showGridLines="0" zoomScale="160" zoomScaleNormal="160" workbookViewId="0">
      <pane xSplit="1" topLeftCell="AT1" activePane="topRight" state="frozen"/>
      <selection pane="topRight" activeCell="BB17" sqref="BB17"/>
    </sheetView>
  </sheetViews>
  <sheetFormatPr defaultColWidth="8.5703125" defaultRowHeight="11.25"/>
  <cols>
    <col min="1" max="1" width="52.42578125" style="434" customWidth="1"/>
    <col min="2" max="2" width="0.140625" style="434" hidden="1" customWidth="1"/>
    <col min="3" max="3" width="7" style="267" customWidth="1"/>
    <col min="4" max="4" width="0.42578125" style="250" customWidth="1"/>
    <col min="5" max="5" width="7.5703125" style="250" customWidth="1"/>
    <col min="6" max="6" width="1.140625" style="250" customWidth="1"/>
    <col min="7" max="9" width="7.42578125" style="250" customWidth="1"/>
    <col min="10" max="10" width="7.42578125" style="267" customWidth="1"/>
    <col min="11" max="11" width="0.5703125" style="250" customWidth="1"/>
    <col min="12" max="12" width="8" style="250" customWidth="1"/>
    <col min="13" max="13" width="8.140625" style="250" customWidth="1"/>
    <col min="14" max="14" width="7.85546875" style="250" customWidth="1"/>
    <col min="15" max="15" width="7.5703125" style="250" customWidth="1"/>
    <col min="16" max="16" width="1.42578125" style="250" customWidth="1"/>
    <col min="17" max="17" width="7" style="250" customWidth="1"/>
    <col min="18" max="18" width="6.85546875" style="250" customWidth="1"/>
    <col min="19" max="19" width="8" style="250" customWidth="1"/>
    <col min="20" max="20" width="7.42578125" style="250" customWidth="1"/>
    <col min="21" max="21" width="0.42578125" style="250" customWidth="1"/>
    <col min="22" max="22" width="7.85546875" style="250" customWidth="1"/>
    <col min="23" max="23" width="8" style="250" customWidth="1"/>
    <col min="24" max="24" width="8.140625" style="250" customWidth="1"/>
    <col min="25" max="25" width="7.5703125" style="250" customWidth="1"/>
    <col min="26" max="26" width="0.85546875" style="250" customWidth="1"/>
    <col min="27" max="27" width="7.5703125" style="250" customWidth="1"/>
    <col min="28" max="28" width="7.5703125" style="204" customWidth="1"/>
    <col min="29" max="29" width="7.42578125" style="250" customWidth="1"/>
    <col min="30" max="30" width="8.5703125" style="250" customWidth="1"/>
    <col min="31" max="31" width="0.5703125" style="250" customWidth="1"/>
    <col min="32" max="32" width="8" style="250" customWidth="1"/>
    <col min="33" max="33" width="6.85546875" style="204" customWidth="1"/>
    <col min="34" max="35" width="9" style="204" customWidth="1"/>
    <col min="36" max="53" width="8.5703125" style="204" customWidth="1"/>
    <col min="54" max="86" width="8.5703125" style="250" customWidth="1"/>
    <col min="87" max="16384" width="8.5703125" style="250"/>
  </cols>
  <sheetData>
    <row r="1" spans="1:53" ht="30">
      <c r="A1" s="529" t="s">
        <v>302</v>
      </c>
      <c r="B1" s="5"/>
    </row>
    <row r="2" spans="1:53" s="426" customFormat="1" ht="12" customHeight="1">
      <c r="A2" s="534"/>
      <c r="B2" s="425"/>
      <c r="C2" s="215">
        <v>2014</v>
      </c>
      <c r="D2" s="215"/>
      <c r="E2" s="215">
        <v>2015</v>
      </c>
      <c r="F2" s="215"/>
      <c r="G2" s="215" t="s">
        <v>8</v>
      </c>
      <c r="H2" s="215" t="s">
        <v>9</v>
      </c>
      <c r="I2" s="215" t="s">
        <v>10</v>
      </c>
      <c r="J2" s="215">
        <v>2016</v>
      </c>
      <c r="K2" s="215"/>
      <c r="L2" s="215" t="s">
        <v>16</v>
      </c>
      <c r="M2" s="215" t="s">
        <v>17</v>
      </c>
      <c r="N2" s="215" t="s">
        <v>20</v>
      </c>
      <c r="O2" s="215">
        <v>2017</v>
      </c>
      <c r="P2" s="215"/>
      <c r="Q2" s="215" t="s">
        <v>27</v>
      </c>
      <c r="R2" s="215" t="s">
        <v>29</v>
      </c>
      <c r="S2" s="215" t="s">
        <v>30</v>
      </c>
      <c r="T2" s="215">
        <v>2018</v>
      </c>
      <c r="V2" s="215" t="s">
        <v>35</v>
      </c>
      <c r="W2" s="215" t="s">
        <v>36</v>
      </c>
      <c r="X2" s="215" t="s">
        <v>39</v>
      </c>
      <c r="Y2" s="215">
        <v>2019</v>
      </c>
      <c r="AA2" s="215" t="s">
        <v>41</v>
      </c>
      <c r="AB2" s="216" t="s">
        <v>42</v>
      </c>
      <c r="AC2" s="216" t="s">
        <v>43</v>
      </c>
      <c r="AD2" s="216">
        <v>2020</v>
      </c>
      <c r="AE2" s="216"/>
      <c r="AF2" s="216" t="s">
        <v>47</v>
      </c>
      <c r="AG2" s="216" t="s">
        <v>48</v>
      </c>
      <c r="AH2" s="216" t="s">
        <v>49</v>
      </c>
      <c r="AI2" s="216">
        <v>2021</v>
      </c>
      <c r="AJ2" s="216" t="s">
        <v>51</v>
      </c>
      <c r="AK2" s="216" t="s">
        <v>52</v>
      </c>
      <c r="AL2" s="216" t="s">
        <v>53</v>
      </c>
      <c r="AM2" s="216">
        <v>2022</v>
      </c>
      <c r="AN2" s="216" t="s">
        <v>55</v>
      </c>
      <c r="AO2" s="216" t="s">
        <v>56</v>
      </c>
      <c r="AP2" s="216" t="s">
        <v>57</v>
      </c>
      <c r="AQ2" s="216">
        <v>2023</v>
      </c>
      <c r="AR2" s="216" t="s">
        <v>64</v>
      </c>
      <c r="AS2" s="216" t="s">
        <v>68</v>
      </c>
      <c r="AT2" s="216" t="s">
        <v>70</v>
      </c>
      <c r="AU2" s="216">
        <v>2024</v>
      </c>
      <c r="AV2" s="216" t="s">
        <v>76</v>
      </c>
      <c r="AW2" s="216" t="s">
        <v>79</v>
      </c>
      <c r="AX2" s="216" t="s">
        <v>81</v>
      </c>
      <c r="AY2" s="216">
        <v>2025</v>
      </c>
      <c r="AZ2" s="216" t="s">
        <v>86</v>
      </c>
      <c r="BA2" s="216" t="s">
        <v>88</v>
      </c>
    </row>
    <row r="3" spans="1:53" s="426" customFormat="1" ht="12" customHeight="1">
      <c r="A3" s="535" t="s">
        <v>220</v>
      </c>
      <c r="B3" s="372"/>
      <c r="C3" s="427"/>
      <c r="D3" s="428"/>
      <c r="E3" s="429"/>
      <c r="F3" s="428"/>
      <c r="G3" s="429"/>
      <c r="H3" s="429"/>
      <c r="I3" s="429"/>
      <c r="J3" s="427"/>
      <c r="K3" s="428"/>
      <c r="L3" s="429"/>
      <c r="M3" s="174"/>
      <c r="N3" s="174"/>
      <c r="O3" s="174"/>
      <c r="P3" s="314"/>
      <c r="Q3" s="174"/>
      <c r="R3" s="174"/>
      <c r="S3" s="174"/>
      <c r="T3" s="174"/>
      <c r="V3" s="174"/>
      <c r="W3" s="174"/>
      <c r="X3" s="174"/>
      <c r="Y3" s="174"/>
      <c r="AA3" s="174"/>
      <c r="AB3" s="217"/>
      <c r="AC3" s="174"/>
      <c r="AD3" s="174"/>
      <c r="AE3" s="314"/>
      <c r="AF3" s="217"/>
      <c r="AG3" s="217"/>
      <c r="AH3" s="217"/>
      <c r="AI3" s="217"/>
      <c r="AJ3" s="217"/>
      <c r="AK3" s="217"/>
      <c r="AL3" s="217"/>
      <c r="AM3" s="217"/>
      <c r="AN3" s="217"/>
      <c r="AO3" s="217"/>
      <c r="AP3" s="217"/>
      <c r="AQ3" s="217"/>
      <c r="AR3" s="217"/>
      <c r="AS3" s="217"/>
      <c r="AT3" s="217"/>
      <c r="AU3" s="217"/>
      <c r="AV3" s="217"/>
      <c r="AW3" s="217"/>
      <c r="AX3" s="217"/>
      <c r="AY3" s="217"/>
      <c r="AZ3" s="217"/>
      <c r="BA3" s="217"/>
    </row>
    <row r="4" spans="1:53" s="426" customFormat="1" ht="12" customHeight="1">
      <c r="A4" s="536" t="s">
        <v>221</v>
      </c>
      <c r="B4" s="430"/>
      <c r="C4" s="177">
        <v>11335</v>
      </c>
      <c r="D4" s="431"/>
      <c r="E4" s="177">
        <v>12845</v>
      </c>
      <c r="F4" s="432"/>
      <c r="G4" s="177">
        <v>13219</v>
      </c>
      <c r="H4" s="433">
        <v>13602</v>
      </c>
      <c r="I4" s="433">
        <v>13893</v>
      </c>
      <c r="J4" s="427">
        <v>14379</v>
      </c>
      <c r="K4" s="432"/>
      <c r="L4" s="177">
        <v>14542</v>
      </c>
      <c r="M4" s="174">
        <v>14676</v>
      </c>
      <c r="N4" s="174">
        <v>14857</v>
      </c>
      <c r="O4" s="174">
        <v>15355</v>
      </c>
      <c r="P4" s="314"/>
      <c r="Q4" s="177">
        <v>15373</v>
      </c>
      <c r="R4" s="174">
        <v>15554</v>
      </c>
      <c r="S4" s="174">
        <v>15674</v>
      </c>
      <c r="T4" s="174">
        <v>16382</v>
      </c>
      <c r="V4" s="177">
        <v>16922</v>
      </c>
      <c r="W4" s="177">
        <v>17359</v>
      </c>
      <c r="X4" s="177">
        <v>17769</v>
      </c>
      <c r="Y4" s="177">
        <v>18092</v>
      </c>
      <c r="AA4" s="177">
        <v>18212</v>
      </c>
      <c r="AB4" s="177">
        <v>18459</v>
      </c>
      <c r="AC4" s="177">
        <v>18791</v>
      </c>
      <c r="AD4" s="177">
        <v>19162</v>
      </c>
      <c r="AE4" s="314"/>
      <c r="AF4" s="177">
        <v>19194</v>
      </c>
      <c r="AG4" s="136">
        <v>19392</v>
      </c>
      <c r="AH4" s="136">
        <v>19526</v>
      </c>
      <c r="AI4" s="136">
        <v>19744</v>
      </c>
      <c r="AJ4" s="136">
        <v>19537</v>
      </c>
      <c r="AK4" s="136">
        <v>20175</v>
      </c>
      <c r="AL4" s="136">
        <v>20507</v>
      </c>
      <c r="AM4" s="136">
        <v>21091</v>
      </c>
      <c r="AN4" s="136">
        <v>21159</v>
      </c>
      <c r="AO4" s="136">
        <v>21369</v>
      </c>
      <c r="AP4" s="136">
        <v>21695</v>
      </c>
      <c r="AQ4" s="136">
        <v>19006</v>
      </c>
      <c r="AR4" s="136">
        <v>19239</v>
      </c>
      <c r="AS4" s="136">
        <v>19666</v>
      </c>
      <c r="AT4" s="136">
        <v>20240</v>
      </c>
      <c r="AU4" s="136">
        <v>21007</v>
      </c>
      <c r="AV4" s="136">
        <v>21279</v>
      </c>
      <c r="AW4" s="136">
        <v>21615</v>
      </c>
      <c r="AX4" s="136">
        <v>22075</v>
      </c>
      <c r="AY4" s="136">
        <v>23084</v>
      </c>
      <c r="AZ4" s="136">
        <v>23213</v>
      </c>
      <c r="BA4" s="367">
        <v>23628</v>
      </c>
    </row>
    <row r="5" spans="1:53" s="426" customFormat="1" ht="12" customHeight="1">
      <c r="A5" s="536" t="s">
        <v>222</v>
      </c>
      <c r="B5" s="430"/>
      <c r="C5" s="177">
        <v>490</v>
      </c>
      <c r="D5" s="431"/>
      <c r="E5" s="177">
        <v>541</v>
      </c>
      <c r="F5" s="432"/>
      <c r="G5" s="177">
        <v>563</v>
      </c>
      <c r="H5" s="433">
        <v>564</v>
      </c>
      <c r="I5" s="433">
        <v>601</v>
      </c>
      <c r="J5" s="427">
        <v>507</v>
      </c>
      <c r="K5" s="432"/>
      <c r="L5" s="177">
        <v>526</v>
      </c>
      <c r="M5" s="174">
        <v>531</v>
      </c>
      <c r="N5" s="174">
        <v>547</v>
      </c>
      <c r="O5" s="174">
        <v>507</v>
      </c>
      <c r="P5" s="314"/>
      <c r="Q5" s="177">
        <v>532</v>
      </c>
      <c r="R5" s="174">
        <v>550</v>
      </c>
      <c r="S5" s="174">
        <v>557</v>
      </c>
      <c r="T5" s="174">
        <v>576</v>
      </c>
      <c r="V5" s="177">
        <v>649</v>
      </c>
      <c r="W5" s="177">
        <v>616</v>
      </c>
      <c r="X5" s="177">
        <v>628</v>
      </c>
      <c r="Y5" s="177">
        <v>651</v>
      </c>
      <c r="AA5" s="177">
        <v>748</v>
      </c>
      <c r="AB5" s="177">
        <v>671</v>
      </c>
      <c r="AC5" s="177">
        <v>671</v>
      </c>
      <c r="AD5" s="177">
        <v>675</v>
      </c>
      <c r="AE5" s="314"/>
      <c r="AF5" s="177">
        <v>686</v>
      </c>
      <c r="AG5" s="136">
        <v>608</v>
      </c>
      <c r="AH5" s="136">
        <v>637</v>
      </c>
      <c r="AI5" s="136">
        <v>1093</v>
      </c>
      <c r="AJ5" s="136">
        <v>1101</v>
      </c>
      <c r="AK5" s="136">
        <v>1182</v>
      </c>
      <c r="AL5" s="136">
        <v>1197</v>
      </c>
      <c r="AM5" s="136">
        <v>1251</v>
      </c>
      <c r="AN5" s="136">
        <v>1308</v>
      </c>
      <c r="AO5" s="136">
        <v>1356</v>
      </c>
      <c r="AP5" s="136">
        <v>1374</v>
      </c>
      <c r="AQ5" s="136">
        <v>1419</v>
      </c>
      <c r="AR5" s="136">
        <v>1418</v>
      </c>
      <c r="AS5" s="136">
        <v>1184</v>
      </c>
      <c r="AT5" s="136">
        <v>1228</v>
      </c>
      <c r="AU5" s="136">
        <v>1284</v>
      </c>
      <c r="AV5" s="136">
        <v>1291</v>
      </c>
      <c r="AW5" s="136">
        <v>1598</v>
      </c>
      <c r="AX5" s="136">
        <v>1251</v>
      </c>
      <c r="AY5" s="136">
        <v>1258</v>
      </c>
      <c r="AZ5" s="136">
        <v>1300</v>
      </c>
      <c r="BA5" s="367">
        <v>1333</v>
      </c>
    </row>
    <row r="6" spans="1:53" s="426" customFormat="1" ht="12" customHeight="1">
      <c r="A6" s="500" t="s">
        <v>223</v>
      </c>
      <c r="B6" s="434"/>
      <c r="C6" s="177">
        <f>+C4+C5</f>
        <v>11825</v>
      </c>
      <c r="D6" s="431"/>
      <c r="E6" s="177">
        <f>+E4+E5</f>
        <v>13386</v>
      </c>
      <c r="F6" s="432"/>
      <c r="G6" s="177">
        <f>+G4+G5</f>
        <v>13782</v>
      </c>
      <c r="H6" s="433">
        <f>+H4+H5</f>
        <v>14166</v>
      </c>
      <c r="I6" s="433">
        <f>+I4+I5</f>
        <v>14494</v>
      </c>
      <c r="J6" s="427">
        <f>+J4+J5</f>
        <v>14886</v>
      </c>
      <c r="K6" s="432"/>
      <c r="L6" s="177">
        <f t="shared" ref="L6:R6" si="0">+L4+L5</f>
        <v>15068</v>
      </c>
      <c r="M6" s="174">
        <f t="shared" si="0"/>
        <v>15207</v>
      </c>
      <c r="N6" s="174">
        <f t="shared" si="0"/>
        <v>15404</v>
      </c>
      <c r="O6" s="174">
        <f t="shared" si="0"/>
        <v>15862</v>
      </c>
      <c r="P6" s="314"/>
      <c r="Q6" s="177">
        <f t="shared" si="0"/>
        <v>15905</v>
      </c>
      <c r="R6" s="174">
        <f t="shared" si="0"/>
        <v>16104</v>
      </c>
      <c r="S6" s="174">
        <f>+S4+S5</f>
        <v>16231</v>
      </c>
      <c r="T6" s="174">
        <f>+T4+T5</f>
        <v>16958</v>
      </c>
      <c r="V6" s="177">
        <f>+V4+V5</f>
        <v>17571</v>
      </c>
      <c r="W6" s="177">
        <f>+W4+W5</f>
        <v>17975</v>
      </c>
      <c r="X6" s="177">
        <f>X4+X5</f>
        <v>18397</v>
      </c>
      <c r="Y6" s="177">
        <v>18743</v>
      </c>
      <c r="AA6" s="177">
        <v>18960</v>
      </c>
      <c r="AB6" s="177">
        <v>19130</v>
      </c>
      <c r="AC6" s="177">
        <v>19462</v>
      </c>
      <c r="AD6" s="177">
        <v>19837</v>
      </c>
      <c r="AE6" s="314"/>
      <c r="AF6" s="177">
        <v>19880</v>
      </c>
      <c r="AG6" s="136">
        <v>20000</v>
      </c>
      <c r="AH6" s="136">
        <v>20163</v>
      </c>
      <c r="AI6" s="136">
        <v>20837</v>
      </c>
      <c r="AJ6" s="136">
        <v>20638</v>
      </c>
      <c r="AK6" s="136">
        <v>21357</v>
      </c>
      <c r="AL6" s="136">
        <v>21704</v>
      </c>
      <c r="AM6" s="136">
        <v>22342</v>
      </c>
      <c r="AN6" s="136">
        <v>22467</v>
      </c>
      <c r="AO6" s="136">
        <v>22725</v>
      </c>
      <c r="AP6" s="136">
        <f>+AP4+AP5</f>
        <v>23069</v>
      </c>
      <c r="AQ6" s="136">
        <f>+AQ4+AQ5</f>
        <v>20425</v>
      </c>
      <c r="AR6" s="136">
        <f>+AR4+AR5</f>
        <v>20657</v>
      </c>
      <c r="AS6" s="136">
        <v>20850</v>
      </c>
      <c r="AT6" s="136">
        <f>AT4+AT5</f>
        <v>21468</v>
      </c>
      <c r="AU6" s="136">
        <v>22291</v>
      </c>
      <c r="AV6" s="136">
        <v>22570</v>
      </c>
      <c r="AW6" s="136">
        <v>23213</v>
      </c>
      <c r="AX6" s="136">
        <v>23326</v>
      </c>
      <c r="AY6" s="136">
        <f>+AY4+AY5</f>
        <v>24342</v>
      </c>
      <c r="AZ6" s="136">
        <v>24513</v>
      </c>
      <c r="BA6" s="367">
        <f>+BA4+BA5</f>
        <v>24961</v>
      </c>
    </row>
    <row r="7" spans="1:53" s="426" customFormat="1" ht="12" customHeight="1">
      <c r="A7" s="536" t="s">
        <v>224</v>
      </c>
      <c r="B7" s="430"/>
      <c r="C7" s="177">
        <v>227</v>
      </c>
      <c r="D7" s="431"/>
      <c r="E7" s="177">
        <v>233</v>
      </c>
      <c r="F7" s="432"/>
      <c r="G7" s="177">
        <v>228</v>
      </c>
      <c r="H7" s="433">
        <v>225</v>
      </c>
      <c r="I7" s="433">
        <v>226</v>
      </c>
      <c r="J7" s="427">
        <v>77</v>
      </c>
      <c r="K7" s="432"/>
      <c r="L7" s="177">
        <v>72</v>
      </c>
      <c r="M7" s="174">
        <v>69</v>
      </c>
      <c r="N7" s="174">
        <v>67</v>
      </c>
      <c r="O7" s="174">
        <v>75</v>
      </c>
      <c r="P7" s="314"/>
      <c r="Q7" s="177">
        <v>71</v>
      </c>
      <c r="R7" s="174">
        <v>69</v>
      </c>
      <c r="S7" s="174">
        <v>71</v>
      </c>
      <c r="T7" s="174">
        <v>92</v>
      </c>
      <c r="V7" s="177">
        <v>90</v>
      </c>
      <c r="W7" s="177">
        <v>89</v>
      </c>
      <c r="X7" s="177">
        <v>89</v>
      </c>
      <c r="Y7" s="177">
        <v>103</v>
      </c>
      <c r="AA7" s="177">
        <v>99</v>
      </c>
      <c r="AB7" s="177">
        <v>99</v>
      </c>
      <c r="AC7" s="177">
        <v>96</v>
      </c>
      <c r="AD7" s="177">
        <v>102</v>
      </c>
      <c r="AE7" s="314"/>
      <c r="AF7" s="177">
        <v>101</v>
      </c>
      <c r="AG7" s="136">
        <v>96</v>
      </c>
      <c r="AH7" s="136">
        <v>92</v>
      </c>
      <c r="AI7" s="136">
        <v>98</v>
      </c>
      <c r="AJ7" s="136">
        <v>94</v>
      </c>
      <c r="AK7" s="136">
        <v>100</v>
      </c>
      <c r="AL7" s="136">
        <v>100</v>
      </c>
      <c r="AM7" s="136">
        <v>104</v>
      </c>
      <c r="AN7" s="136">
        <v>100</v>
      </c>
      <c r="AO7" s="136">
        <v>96</v>
      </c>
      <c r="AP7" s="136">
        <v>97</v>
      </c>
      <c r="AQ7" s="136">
        <v>111</v>
      </c>
      <c r="AR7" s="136">
        <v>107</v>
      </c>
      <c r="AS7" s="136">
        <v>104</v>
      </c>
      <c r="AT7" s="136">
        <v>103</v>
      </c>
      <c r="AU7" s="136">
        <v>119</v>
      </c>
      <c r="AV7" s="136">
        <v>113</v>
      </c>
      <c r="AW7" s="136">
        <v>109</v>
      </c>
      <c r="AX7" s="136">
        <v>107</v>
      </c>
      <c r="AY7" s="136">
        <v>115</v>
      </c>
      <c r="AZ7" s="136">
        <v>110</v>
      </c>
      <c r="BA7" s="367">
        <v>105</v>
      </c>
    </row>
    <row r="8" spans="1:53" s="426" customFormat="1" ht="12" customHeight="1">
      <c r="A8" s="536" t="s">
        <v>225</v>
      </c>
      <c r="B8" s="430"/>
      <c r="C8" s="177">
        <v>21</v>
      </c>
      <c r="D8" s="431"/>
      <c r="E8" s="177">
        <v>24</v>
      </c>
      <c r="F8" s="432"/>
      <c r="G8" s="177">
        <v>22</v>
      </c>
      <c r="H8" s="433">
        <v>22</v>
      </c>
      <c r="I8" s="433">
        <v>20</v>
      </c>
      <c r="J8" s="427">
        <v>24</v>
      </c>
      <c r="K8" s="432"/>
      <c r="L8" s="177">
        <v>23</v>
      </c>
      <c r="M8" s="174">
        <v>22</v>
      </c>
      <c r="N8" s="174">
        <v>22</v>
      </c>
      <c r="O8" s="174">
        <v>34</v>
      </c>
      <c r="P8" s="314"/>
      <c r="Q8" s="177">
        <v>32</v>
      </c>
      <c r="R8" s="174">
        <v>34</v>
      </c>
      <c r="S8" s="174">
        <v>34</v>
      </c>
      <c r="T8" s="174">
        <v>52</v>
      </c>
      <c r="V8" s="177">
        <v>50</v>
      </c>
      <c r="W8" s="177">
        <v>48</v>
      </c>
      <c r="X8" s="177">
        <v>47</v>
      </c>
      <c r="Y8" s="177">
        <v>61</v>
      </c>
      <c r="AA8" s="177">
        <v>60</v>
      </c>
      <c r="AB8" s="177">
        <v>58</v>
      </c>
      <c r="AC8" s="177">
        <v>57</v>
      </c>
      <c r="AD8" s="177">
        <v>65</v>
      </c>
      <c r="AE8" s="314"/>
      <c r="AF8" s="177">
        <v>64</v>
      </c>
      <c r="AG8" s="136">
        <v>62</v>
      </c>
      <c r="AH8" s="136">
        <v>59</v>
      </c>
      <c r="AI8" s="136">
        <v>60</v>
      </c>
      <c r="AJ8" s="136">
        <v>57</v>
      </c>
      <c r="AK8" s="136">
        <v>54</v>
      </c>
      <c r="AL8" s="136">
        <v>51</v>
      </c>
      <c r="AM8" s="136">
        <v>51</v>
      </c>
      <c r="AN8" s="136">
        <v>53</v>
      </c>
      <c r="AO8" s="136">
        <v>51</v>
      </c>
      <c r="AP8" s="136">
        <v>56</v>
      </c>
      <c r="AQ8" s="136">
        <v>54</v>
      </c>
      <c r="AR8" s="136">
        <v>51</v>
      </c>
      <c r="AS8" s="136">
        <v>49</v>
      </c>
      <c r="AT8" s="136">
        <v>48</v>
      </c>
      <c r="AU8" s="136">
        <v>49</v>
      </c>
      <c r="AV8" s="136">
        <v>46</v>
      </c>
      <c r="AW8" s="136">
        <v>44</v>
      </c>
      <c r="AX8" s="136">
        <v>42</v>
      </c>
      <c r="AY8" s="136">
        <v>59</v>
      </c>
      <c r="AZ8" s="136">
        <v>58</v>
      </c>
      <c r="BA8" s="367">
        <v>58</v>
      </c>
    </row>
    <row r="9" spans="1:53" s="426" customFormat="1" ht="13.5" customHeight="1">
      <c r="A9" s="500" t="s">
        <v>226</v>
      </c>
      <c r="B9" s="434"/>
      <c r="C9" s="177">
        <f>+C7+C8</f>
        <v>248</v>
      </c>
      <c r="D9" s="431"/>
      <c r="E9" s="177">
        <f>+E7+E8</f>
        <v>257</v>
      </c>
      <c r="F9" s="432"/>
      <c r="G9" s="177">
        <f>+G7+G8</f>
        <v>250</v>
      </c>
      <c r="H9" s="433">
        <f>+H7+H8</f>
        <v>247</v>
      </c>
      <c r="I9" s="433">
        <f>+I7+I8</f>
        <v>246</v>
      </c>
      <c r="J9" s="427">
        <f>+J7+J8</f>
        <v>101</v>
      </c>
      <c r="K9" s="432"/>
      <c r="L9" s="177">
        <f t="shared" ref="L9:R9" si="1">+L7+L8</f>
        <v>95</v>
      </c>
      <c r="M9" s="174">
        <f t="shared" si="1"/>
        <v>91</v>
      </c>
      <c r="N9" s="174">
        <f t="shared" si="1"/>
        <v>89</v>
      </c>
      <c r="O9" s="174">
        <f t="shared" si="1"/>
        <v>109</v>
      </c>
      <c r="P9" s="314"/>
      <c r="Q9" s="177">
        <f t="shared" si="1"/>
        <v>103</v>
      </c>
      <c r="R9" s="174">
        <f t="shared" si="1"/>
        <v>103</v>
      </c>
      <c r="S9" s="174">
        <f>+S7+S8</f>
        <v>105</v>
      </c>
      <c r="T9" s="174">
        <f>+T7+T8</f>
        <v>144</v>
      </c>
      <c r="V9" s="177">
        <f>+V7+V8</f>
        <v>140</v>
      </c>
      <c r="W9" s="177">
        <f>+W7+W8</f>
        <v>137</v>
      </c>
      <c r="X9" s="177">
        <f>X7+X8</f>
        <v>136</v>
      </c>
      <c r="Y9" s="177">
        <v>164</v>
      </c>
      <c r="AA9" s="177">
        <v>159</v>
      </c>
      <c r="AB9" s="177">
        <v>157</v>
      </c>
      <c r="AC9" s="177">
        <v>153</v>
      </c>
      <c r="AD9" s="177">
        <v>167</v>
      </c>
      <c r="AE9" s="314"/>
      <c r="AF9" s="177">
        <v>165</v>
      </c>
      <c r="AG9" s="136">
        <v>158</v>
      </c>
      <c r="AH9" s="136">
        <v>151</v>
      </c>
      <c r="AI9" s="136">
        <v>158</v>
      </c>
      <c r="AJ9" s="136">
        <v>151</v>
      </c>
      <c r="AK9" s="136">
        <v>154</v>
      </c>
      <c r="AL9" s="136">
        <v>151</v>
      </c>
      <c r="AM9" s="136">
        <v>155</v>
      </c>
      <c r="AN9" s="136">
        <v>153</v>
      </c>
      <c r="AO9" s="136">
        <v>147</v>
      </c>
      <c r="AP9" s="136">
        <f>+AP7+AP8</f>
        <v>153</v>
      </c>
      <c r="AQ9" s="136">
        <f>+AQ7+AQ8</f>
        <v>165</v>
      </c>
      <c r="AR9" s="136">
        <f>+AR7+AR8</f>
        <v>158</v>
      </c>
      <c r="AS9" s="136">
        <v>153</v>
      </c>
      <c r="AT9" s="136">
        <f>AT7+AT8</f>
        <v>151</v>
      </c>
      <c r="AU9" s="136">
        <v>168</v>
      </c>
      <c r="AV9" s="136">
        <v>159</v>
      </c>
      <c r="AW9" s="136">
        <v>153</v>
      </c>
      <c r="AX9" s="136">
        <v>149</v>
      </c>
      <c r="AY9" s="136">
        <f>+AY7+AY8</f>
        <v>174</v>
      </c>
      <c r="AZ9" s="136">
        <v>168</v>
      </c>
      <c r="BA9" s="367">
        <f>+BA7+BA8</f>
        <v>163</v>
      </c>
    </row>
    <row r="10" spans="1:53" s="426" customFormat="1" ht="14.25" customHeight="1">
      <c r="A10" s="500" t="s">
        <v>303</v>
      </c>
      <c r="B10" s="434"/>
      <c r="C10" s="177">
        <v>11778</v>
      </c>
      <c r="D10" s="431"/>
      <c r="E10" s="177">
        <v>6858</v>
      </c>
      <c r="F10" s="432"/>
      <c r="G10" s="177">
        <v>6859</v>
      </c>
      <c r="H10" s="433">
        <v>6863</v>
      </c>
      <c r="I10" s="433">
        <v>6858</v>
      </c>
      <c r="J10" s="427">
        <v>2002</v>
      </c>
      <c r="K10" s="432"/>
      <c r="L10" s="177">
        <v>2002</v>
      </c>
      <c r="M10" s="174">
        <v>3370</v>
      </c>
      <c r="N10" s="174">
        <v>3361</v>
      </c>
      <c r="O10" s="174">
        <v>3013</v>
      </c>
      <c r="P10" s="314"/>
      <c r="Q10" s="177">
        <v>3013</v>
      </c>
      <c r="R10" s="174">
        <v>3013</v>
      </c>
      <c r="S10" s="174">
        <v>3020</v>
      </c>
      <c r="T10" s="174">
        <v>3510</v>
      </c>
      <c r="V10" s="177">
        <v>3377</v>
      </c>
      <c r="W10" s="177">
        <v>3415</v>
      </c>
      <c r="X10" s="177">
        <v>3405</v>
      </c>
      <c r="Y10" s="177">
        <v>2946</v>
      </c>
      <c r="AA10" s="177">
        <v>2908</v>
      </c>
      <c r="AB10" s="177">
        <v>2823</v>
      </c>
      <c r="AC10" s="177">
        <v>2844</v>
      </c>
      <c r="AD10" s="177">
        <v>2848</v>
      </c>
      <c r="AE10" s="314"/>
      <c r="AF10" s="177">
        <v>2845</v>
      </c>
      <c r="AG10" s="136">
        <v>3851</v>
      </c>
      <c r="AH10" s="136">
        <v>3862</v>
      </c>
      <c r="AI10" s="136">
        <v>3691</v>
      </c>
      <c r="AJ10" s="136">
        <v>3691</v>
      </c>
      <c r="AK10" s="136">
        <v>3698</v>
      </c>
      <c r="AL10" s="136">
        <v>3701</v>
      </c>
      <c r="AM10" s="136">
        <v>3701</v>
      </c>
      <c r="AN10" s="136">
        <v>3816</v>
      </c>
      <c r="AO10" s="136">
        <v>3817</v>
      </c>
      <c r="AP10" s="136">
        <v>3917</v>
      </c>
      <c r="AQ10" s="136">
        <v>4807</v>
      </c>
      <c r="AR10" s="136">
        <v>4919</v>
      </c>
      <c r="AS10" s="136">
        <v>4919</v>
      </c>
      <c r="AT10" s="136">
        <v>4909</v>
      </c>
      <c r="AU10" s="136">
        <v>6146</v>
      </c>
      <c r="AV10" s="136">
        <v>6181</v>
      </c>
      <c r="AW10" s="136">
        <v>6300</v>
      </c>
      <c r="AX10" s="136">
        <v>6348</v>
      </c>
      <c r="AY10" s="136">
        <v>6801</v>
      </c>
      <c r="AZ10" s="136">
        <v>6801</v>
      </c>
      <c r="BA10" s="367">
        <v>6814</v>
      </c>
    </row>
    <row r="11" spans="1:53" s="426" customFormat="1" ht="12" customHeight="1">
      <c r="A11" s="536" t="s">
        <v>297</v>
      </c>
      <c r="B11" s="430"/>
      <c r="C11" s="177">
        <v>2042</v>
      </c>
      <c r="D11" s="431"/>
      <c r="E11" s="177">
        <v>6750</v>
      </c>
      <c r="F11" s="432"/>
      <c r="G11" s="177">
        <v>6766</v>
      </c>
      <c r="H11" s="433">
        <v>7375</v>
      </c>
      <c r="I11" s="433">
        <v>7362</v>
      </c>
      <c r="J11" s="427">
        <v>7310</v>
      </c>
      <c r="K11" s="432"/>
      <c r="L11" s="177">
        <v>6996</v>
      </c>
      <c r="M11" s="174">
        <v>5511</v>
      </c>
      <c r="N11" s="174">
        <v>5505</v>
      </c>
      <c r="O11" s="174">
        <v>4972</v>
      </c>
      <c r="P11" s="314"/>
      <c r="Q11" s="177">
        <v>4780</v>
      </c>
      <c r="R11" s="174">
        <v>5580</v>
      </c>
      <c r="S11" s="174">
        <v>5559</v>
      </c>
      <c r="T11" s="174">
        <v>6262</v>
      </c>
      <c r="V11" s="177">
        <v>6623</v>
      </c>
      <c r="W11" s="177">
        <v>6641</v>
      </c>
      <c r="X11" s="177">
        <v>7273</v>
      </c>
      <c r="Y11" s="177">
        <v>7217</v>
      </c>
      <c r="AA11" s="177">
        <v>7886</v>
      </c>
      <c r="AB11" s="177">
        <v>7871</v>
      </c>
      <c r="AC11" s="177">
        <v>7750</v>
      </c>
      <c r="AD11" s="177">
        <v>7648</v>
      </c>
      <c r="AE11" s="314"/>
      <c r="AF11" s="177">
        <v>8092</v>
      </c>
      <c r="AG11" s="136">
        <v>9406</v>
      </c>
      <c r="AH11" s="136">
        <v>9410</v>
      </c>
      <c r="AI11" s="136">
        <v>8249</v>
      </c>
      <c r="AJ11" s="136">
        <v>8190</v>
      </c>
      <c r="AK11" s="136">
        <v>8605</v>
      </c>
      <c r="AL11" s="136">
        <v>9590</v>
      </c>
      <c r="AM11" s="136">
        <v>8763</v>
      </c>
      <c r="AN11" s="136">
        <v>9124</v>
      </c>
      <c r="AO11" s="136">
        <v>9580</v>
      </c>
      <c r="AP11" s="136">
        <v>10283</v>
      </c>
      <c r="AQ11" s="136">
        <v>9638</v>
      </c>
      <c r="AR11" s="136">
        <v>10045</v>
      </c>
      <c r="AS11" s="136">
        <v>10526</v>
      </c>
      <c r="AT11" s="136">
        <v>9872</v>
      </c>
      <c r="AU11" s="136">
        <v>9727</v>
      </c>
      <c r="AV11" s="136">
        <v>9111</v>
      </c>
      <c r="AW11" s="136">
        <v>8338</v>
      </c>
      <c r="AX11" s="136">
        <v>8091</v>
      </c>
      <c r="AY11" s="136">
        <v>8290</v>
      </c>
      <c r="AZ11" s="136">
        <v>8069</v>
      </c>
      <c r="BA11" s="367">
        <v>9204</v>
      </c>
    </row>
    <row r="12" spans="1:53" s="426" customFormat="1" ht="12" customHeight="1">
      <c r="A12" s="536" t="s">
        <v>304</v>
      </c>
      <c r="B12" s="430"/>
      <c r="C12" s="177">
        <v>190</v>
      </c>
      <c r="D12" s="431"/>
      <c r="E12" s="177">
        <v>117</v>
      </c>
      <c r="F12" s="432"/>
      <c r="G12" s="177">
        <v>132</v>
      </c>
      <c r="H12" s="433">
        <v>67</v>
      </c>
      <c r="I12" s="433">
        <v>57</v>
      </c>
      <c r="J12" s="427">
        <v>237</v>
      </c>
      <c r="K12" s="432"/>
      <c r="L12" s="177">
        <v>162</v>
      </c>
      <c r="M12" s="174">
        <v>137</v>
      </c>
      <c r="N12" s="174">
        <v>182</v>
      </c>
      <c r="O12" s="174">
        <v>109</v>
      </c>
      <c r="P12" s="314"/>
      <c r="Q12" s="177">
        <v>212</v>
      </c>
      <c r="R12" s="174">
        <v>328</v>
      </c>
      <c r="S12" s="174">
        <v>398</v>
      </c>
      <c r="T12" s="174">
        <v>319</v>
      </c>
      <c r="V12" s="177">
        <v>249</v>
      </c>
      <c r="W12" s="177">
        <v>257</v>
      </c>
      <c r="X12" s="177">
        <v>162</v>
      </c>
      <c r="Y12" s="177">
        <v>123</v>
      </c>
      <c r="AA12" s="177">
        <v>24</v>
      </c>
      <c r="AB12" s="177">
        <v>242</v>
      </c>
      <c r="AC12" s="177">
        <v>863</v>
      </c>
      <c r="AD12" s="177">
        <v>789</v>
      </c>
      <c r="AE12" s="314"/>
      <c r="AF12" s="177">
        <v>606</v>
      </c>
      <c r="AG12" s="136">
        <v>574</v>
      </c>
      <c r="AH12" s="136">
        <v>579</v>
      </c>
      <c r="AI12" s="136">
        <v>595</v>
      </c>
      <c r="AJ12" s="136">
        <v>537</v>
      </c>
      <c r="AK12" s="136">
        <v>814</v>
      </c>
      <c r="AL12" s="136">
        <v>876</v>
      </c>
      <c r="AM12" s="136">
        <v>714</v>
      </c>
      <c r="AN12" s="136">
        <v>602</v>
      </c>
      <c r="AO12" s="136">
        <v>544</v>
      </c>
      <c r="AP12" s="136">
        <v>324</v>
      </c>
      <c r="AQ12" s="136">
        <v>233</v>
      </c>
      <c r="AR12" s="136">
        <v>204</v>
      </c>
      <c r="AS12" s="136">
        <v>233</v>
      </c>
      <c r="AT12" s="136">
        <v>230</v>
      </c>
      <c r="AU12" s="136">
        <v>286</v>
      </c>
      <c r="AV12" s="136">
        <v>266</v>
      </c>
      <c r="AW12" s="136">
        <v>297</v>
      </c>
      <c r="AX12" s="136">
        <v>180</v>
      </c>
      <c r="AY12" s="136">
        <v>168</v>
      </c>
      <c r="AZ12" s="136">
        <v>770</v>
      </c>
      <c r="BA12" s="367">
        <v>1138</v>
      </c>
    </row>
    <row r="13" spans="1:53" s="426" customFormat="1" ht="12" customHeight="1">
      <c r="A13" s="536" t="s">
        <v>230</v>
      </c>
      <c r="B13" s="430"/>
      <c r="C13" s="177">
        <v>931</v>
      </c>
      <c r="D13" s="431"/>
      <c r="E13" s="177">
        <v>579</v>
      </c>
      <c r="F13" s="432"/>
      <c r="G13" s="177">
        <v>602</v>
      </c>
      <c r="H13" s="433">
        <v>571</v>
      </c>
      <c r="I13" s="433">
        <v>527</v>
      </c>
      <c r="J13" s="427">
        <v>576</v>
      </c>
      <c r="K13" s="432"/>
      <c r="L13" s="177">
        <v>676</v>
      </c>
      <c r="M13" s="174">
        <v>712</v>
      </c>
      <c r="N13" s="174">
        <v>741</v>
      </c>
      <c r="O13" s="174">
        <v>613</v>
      </c>
      <c r="P13" s="314"/>
      <c r="Q13" s="177">
        <v>534</v>
      </c>
      <c r="R13" s="174">
        <v>508</v>
      </c>
      <c r="S13" s="174">
        <v>419</v>
      </c>
      <c r="T13" s="174">
        <v>496</v>
      </c>
      <c r="V13" s="177">
        <v>466</v>
      </c>
      <c r="W13" s="177">
        <v>409</v>
      </c>
      <c r="X13" s="177">
        <v>379</v>
      </c>
      <c r="Y13" s="177">
        <v>403</v>
      </c>
      <c r="AA13" s="177">
        <v>307</v>
      </c>
      <c r="AB13" s="177">
        <v>534</v>
      </c>
      <c r="AC13" s="177">
        <v>489</v>
      </c>
      <c r="AD13" s="177">
        <v>589</v>
      </c>
      <c r="AE13" s="314"/>
      <c r="AF13" s="177">
        <v>566</v>
      </c>
      <c r="AG13" s="136">
        <v>702</v>
      </c>
      <c r="AH13" s="136">
        <v>702</v>
      </c>
      <c r="AI13" s="136">
        <v>581</v>
      </c>
      <c r="AJ13" s="136">
        <v>622</v>
      </c>
      <c r="AK13" s="136">
        <v>724</v>
      </c>
      <c r="AL13" s="136">
        <v>466</v>
      </c>
      <c r="AM13" s="136">
        <v>483</v>
      </c>
      <c r="AN13" s="136">
        <v>458</v>
      </c>
      <c r="AO13" s="136">
        <v>607</v>
      </c>
      <c r="AP13" s="136">
        <v>760</v>
      </c>
      <c r="AQ13" s="136">
        <v>803</v>
      </c>
      <c r="AR13" s="136">
        <v>680</v>
      </c>
      <c r="AS13" s="136">
        <v>844</v>
      </c>
      <c r="AT13" s="136">
        <v>732</v>
      </c>
      <c r="AU13" s="136">
        <v>814</v>
      </c>
      <c r="AV13" s="136">
        <v>1030</v>
      </c>
      <c r="AW13" s="136">
        <v>1661</v>
      </c>
      <c r="AX13" s="136">
        <v>1785</v>
      </c>
      <c r="AY13" s="136">
        <v>1703</v>
      </c>
      <c r="AZ13" s="136">
        <v>1998</v>
      </c>
      <c r="BA13" s="367">
        <v>1788</v>
      </c>
    </row>
    <row r="14" spans="1:53" s="426" customFormat="1" ht="12" customHeight="1">
      <c r="A14" s="536" t="s">
        <v>305</v>
      </c>
      <c r="B14" s="430"/>
      <c r="C14" s="177">
        <v>266</v>
      </c>
      <c r="D14" s="431"/>
      <c r="E14" s="177">
        <v>291</v>
      </c>
      <c r="F14" s="432"/>
      <c r="G14" s="177">
        <v>317</v>
      </c>
      <c r="H14" s="433">
        <v>318</v>
      </c>
      <c r="I14" s="433">
        <v>319</v>
      </c>
      <c r="J14" s="427">
        <v>320</v>
      </c>
      <c r="K14" s="432"/>
      <c r="L14" s="177">
        <v>346</v>
      </c>
      <c r="M14" s="174">
        <v>346</v>
      </c>
      <c r="N14" s="174">
        <v>348</v>
      </c>
      <c r="O14" s="174">
        <v>337</v>
      </c>
      <c r="P14" s="314"/>
      <c r="Q14" s="177">
        <v>375</v>
      </c>
      <c r="R14" s="174">
        <v>365</v>
      </c>
      <c r="S14" s="174">
        <v>366</v>
      </c>
      <c r="T14" s="174">
        <v>376</v>
      </c>
      <c r="V14" s="177">
        <v>430</v>
      </c>
      <c r="W14" s="177">
        <v>402</v>
      </c>
      <c r="X14" s="177">
        <v>404</v>
      </c>
      <c r="Y14" s="177">
        <v>457</v>
      </c>
      <c r="AA14" s="177">
        <v>426</v>
      </c>
      <c r="AB14" s="177">
        <v>486</v>
      </c>
      <c r="AC14" s="177">
        <v>479</v>
      </c>
      <c r="AD14" s="177">
        <v>433</v>
      </c>
      <c r="AE14" s="314"/>
      <c r="AF14" s="177">
        <v>436</v>
      </c>
      <c r="AG14" s="136">
        <v>518</v>
      </c>
      <c r="AH14" s="136">
        <v>521</v>
      </c>
      <c r="AI14" s="136">
        <v>506</v>
      </c>
      <c r="AJ14" s="136">
        <v>549</v>
      </c>
      <c r="AK14" s="136">
        <v>541</v>
      </c>
      <c r="AL14" s="136">
        <v>487</v>
      </c>
      <c r="AM14" s="136">
        <v>432</v>
      </c>
      <c r="AN14" s="136">
        <v>444</v>
      </c>
      <c r="AO14" s="136">
        <v>444</v>
      </c>
      <c r="AP14" s="136">
        <v>452</v>
      </c>
      <c r="AQ14" s="136">
        <v>445</v>
      </c>
      <c r="AR14" s="136">
        <v>435</v>
      </c>
      <c r="AS14" s="136">
        <v>438</v>
      </c>
      <c r="AT14" s="136">
        <v>487</v>
      </c>
      <c r="AU14" s="136">
        <v>578</v>
      </c>
      <c r="AV14" s="136">
        <v>583</v>
      </c>
      <c r="AW14" s="136">
        <v>583</v>
      </c>
      <c r="AX14" s="136">
        <v>590</v>
      </c>
      <c r="AY14" s="136">
        <v>608</v>
      </c>
      <c r="AZ14" s="136">
        <v>643</v>
      </c>
      <c r="BA14" s="367">
        <v>642</v>
      </c>
    </row>
    <row r="15" spans="1:53" s="426" customFormat="1" ht="12" customHeight="1">
      <c r="A15" s="500" t="s">
        <v>232</v>
      </c>
      <c r="B15" s="434"/>
      <c r="C15" s="177">
        <f>+C12+C13+C14+C11</f>
        <v>3429</v>
      </c>
      <c r="D15" s="431"/>
      <c r="E15" s="177">
        <f>+E12+E13+E14+E11</f>
        <v>7737</v>
      </c>
      <c r="F15" s="432"/>
      <c r="G15" s="177">
        <f>+G12+G13+G14+G11</f>
        <v>7817</v>
      </c>
      <c r="H15" s="433">
        <f>+H12+H13+H14+H11</f>
        <v>8331</v>
      </c>
      <c r="I15" s="433">
        <f>+I12+I13+I14+I11</f>
        <v>8265</v>
      </c>
      <c r="J15" s="427">
        <f>+J12+J13+J14+J11</f>
        <v>8443</v>
      </c>
      <c r="K15" s="432"/>
      <c r="L15" s="177">
        <f t="shared" ref="L15:R15" si="2">+L12+L13+L14+L11</f>
        <v>8180</v>
      </c>
      <c r="M15" s="174">
        <f t="shared" si="2"/>
        <v>6706</v>
      </c>
      <c r="N15" s="174">
        <f t="shared" si="2"/>
        <v>6776</v>
      </c>
      <c r="O15" s="174">
        <f t="shared" si="2"/>
        <v>6031</v>
      </c>
      <c r="P15" s="314"/>
      <c r="Q15" s="177">
        <f t="shared" si="2"/>
        <v>5901</v>
      </c>
      <c r="R15" s="174">
        <f t="shared" si="2"/>
        <v>6781</v>
      </c>
      <c r="S15" s="174">
        <f>+S12+S13+S14+S11</f>
        <v>6742</v>
      </c>
      <c r="T15" s="174">
        <f>+T12+T13+T14+T11</f>
        <v>7453</v>
      </c>
      <c r="V15" s="177">
        <f>+V12+V13+V14+V11</f>
        <v>7768</v>
      </c>
      <c r="W15" s="177">
        <f>+W11+W12+W13+W14</f>
        <v>7709</v>
      </c>
      <c r="X15" s="177">
        <f>X11+X12+X13+X14</f>
        <v>8218</v>
      </c>
      <c r="Y15" s="177">
        <v>8200</v>
      </c>
      <c r="AA15" s="177">
        <v>8643</v>
      </c>
      <c r="AB15" s="177">
        <v>9133</v>
      </c>
      <c r="AC15" s="177">
        <f>+AC11+AC12+AC13+AC14</f>
        <v>9581</v>
      </c>
      <c r="AD15" s="177">
        <v>9459</v>
      </c>
      <c r="AE15" s="314"/>
      <c r="AF15" s="177">
        <v>9700</v>
      </c>
      <c r="AG15" s="136">
        <v>11200</v>
      </c>
      <c r="AH15" s="136">
        <v>11212</v>
      </c>
      <c r="AI15" s="136">
        <v>9931</v>
      </c>
      <c r="AJ15" s="136">
        <f>SUM(AJ11:AJ14)</f>
        <v>9898</v>
      </c>
      <c r="AK15" s="136">
        <f>SUM(AK11:AK14)</f>
        <v>10684</v>
      </c>
      <c r="AL15" s="136">
        <f>SUM(AL11:AL14)</f>
        <v>11419</v>
      </c>
      <c r="AM15" s="136">
        <f>SUM(AM11:AM14)</f>
        <v>10392</v>
      </c>
      <c r="AN15" s="136">
        <v>10628</v>
      </c>
      <c r="AO15" s="136">
        <v>11175</v>
      </c>
      <c r="AP15" s="136">
        <f>+AP11+AP12+AP13+AP14</f>
        <v>11819</v>
      </c>
      <c r="AQ15" s="136">
        <f>SUM(AQ11:AQ14)</f>
        <v>11119</v>
      </c>
      <c r="AR15" s="136">
        <f>SUM(AR11:AR14)</f>
        <v>11364</v>
      </c>
      <c r="AS15" s="136">
        <v>12041</v>
      </c>
      <c r="AT15" s="136">
        <f>AT11+AT12+AT13+AT14</f>
        <v>11321</v>
      </c>
      <c r="AU15" s="136">
        <f>AU11+AU12+AU13+AU14</f>
        <v>11405</v>
      </c>
      <c r="AV15" s="136">
        <v>10990</v>
      </c>
      <c r="AW15" s="136">
        <f>AW11+AW12+AW13+AW14</f>
        <v>10879</v>
      </c>
      <c r="AX15" s="136">
        <v>10646</v>
      </c>
      <c r="AY15" s="136">
        <f>AY11+AY12+AY13+AY14</f>
        <v>10769</v>
      </c>
      <c r="AZ15" s="136">
        <v>11480</v>
      </c>
      <c r="BA15" s="367">
        <f>BA11+BA12+BA13+BA14</f>
        <v>12772</v>
      </c>
    </row>
    <row r="16" spans="1:53" s="426" customFormat="1" ht="12" customHeight="1">
      <c r="A16" s="500" t="s">
        <v>234</v>
      </c>
      <c r="B16" s="434"/>
      <c r="C16" s="177">
        <v>111</v>
      </c>
      <c r="D16" s="431"/>
      <c r="E16" s="177">
        <v>141</v>
      </c>
      <c r="F16" s="432"/>
      <c r="G16" s="177">
        <v>145</v>
      </c>
      <c r="H16" s="433">
        <v>197</v>
      </c>
      <c r="I16" s="433">
        <v>108</v>
      </c>
      <c r="J16" s="427">
        <v>140</v>
      </c>
      <c r="K16" s="432"/>
      <c r="L16" s="177">
        <v>129</v>
      </c>
      <c r="M16" s="174">
        <v>57</v>
      </c>
      <c r="N16" s="174">
        <v>30</v>
      </c>
      <c r="O16" s="174">
        <v>31</v>
      </c>
      <c r="P16" s="314"/>
      <c r="Q16" s="177">
        <v>110</v>
      </c>
      <c r="R16" s="174">
        <v>140</v>
      </c>
      <c r="S16" s="174">
        <v>94</v>
      </c>
      <c r="T16" s="174">
        <v>9</v>
      </c>
      <c r="V16" s="177">
        <v>93</v>
      </c>
      <c r="W16" s="177">
        <v>0</v>
      </c>
      <c r="X16" s="177">
        <v>12</v>
      </c>
      <c r="Y16" s="177">
        <v>0</v>
      </c>
      <c r="AA16" s="177">
        <v>8</v>
      </c>
      <c r="AB16" s="177">
        <v>0</v>
      </c>
      <c r="AC16" s="177">
        <v>0</v>
      </c>
      <c r="AD16" s="177">
        <v>0</v>
      </c>
      <c r="AE16" s="314"/>
      <c r="AF16" s="177">
        <v>135</v>
      </c>
      <c r="AG16" s="136">
        <v>0</v>
      </c>
      <c r="AH16" s="136">
        <v>0</v>
      </c>
      <c r="AI16" s="136">
        <v>0</v>
      </c>
      <c r="AJ16" s="136">
        <v>0</v>
      </c>
      <c r="AK16" s="136">
        <v>0</v>
      </c>
      <c r="AL16" s="136">
        <v>0</v>
      </c>
      <c r="AM16" s="136">
        <v>0</v>
      </c>
      <c r="AN16" s="136">
        <v>0</v>
      </c>
      <c r="AO16" s="136">
        <v>0</v>
      </c>
      <c r="AP16" s="136">
        <v>0</v>
      </c>
      <c r="AQ16" s="136">
        <v>0</v>
      </c>
      <c r="AR16" s="136">
        <v>0</v>
      </c>
      <c r="AS16" s="136">
        <v>0</v>
      </c>
      <c r="AT16" s="136">
        <v>0</v>
      </c>
      <c r="AU16" s="136">
        <v>0</v>
      </c>
      <c r="AV16" s="136">
        <v>0</v>
      </c>
      <c r="AW16" s="136">
        <v>0</v>
      </c>
      <c r="AX16" s="136">
        <v>0</v>
      </c>
      <c r="AY16" s="136">
        <v>0</v>
      </c>
      <c r="AZ16" s="136">
        <v>0</v>
      </c>
      <c r="BA16" s="367">
        <v>0</v>
      </c>
    </row>
    <row r="17" spans="1:53" s="426" customFormat="1" ht="12" customHeight="1">
      <c r="A17" s="500" t="s">
        <v>233</v>
      </c>
      <c r="B17" s="434"/>
      <c r="C17" s="177">
        <v>48</v>
      </c>
      <c r="D17" s="431"/>
      <c r="E17" s="177">
        <v>27</v>
      </c>
      <c r="F17" s="432"/>
      <c r="G17" s="177">
        <v>19</v>
      </c>
      <c r="H17" s="433">
        <v>20</v>
      </c>
      <c r="I17" s="433">
        <v>23</v>
      </c>
      <c r="J17" s="427">
        <v>22</v>
      </c>
      <c r="K17" s="432"/>
      <c r="L17" s="177">
        <v>25</v>
      </c>
      <c r="M17" s="174">
        <v>27</v>
      </c>
      <c r="N17" s="174">
        <v>24</v>
      </c>
      <c r="O17" s="174">
        <v>25</v>
      </c>
      <c r="P17" s="314"/>
      <c r="Q17" s="177">
        <v>24</v>
      </c>
      <c r="R17" s="174">
        <v>22</v>
      </c>
      <c r="S17" s="174">
        <v>35</v>
      </c>
      <c r="T17" s="174">
        <v>24</v>
      </c>
      <c r="V17" s="177">
        <v>28</v>
      </c>
      <c r="W17" s="177">
        <v>27</v>
      </c>
      <c r="X17" s="177">
        <v>34</v>
      </c>
      <c r="Y17" s="177">
        <v>58</v>
      </c>
      <c r="AA17" s="177">
        <v>59</v>
      </c>
      <c r="AB17" s="177">
        <v>60</v>
      </c>
      <c r="AC17" s="177">
        <v>64</v>
      </c>
      <c r="AD17" s="177">
        <v>56</v>
      </c>
      <c r="AE17" s="314"/>
      <c r="AF17" s="177">
        <v>39</v>
      </c>
      <c r="AG17" s="136">
        <v>63</v>
      </c>
      <c r="AH17" s="136">
        <v>64</v>
      </c>
      <c r="AI17" s="136">
        <v>54</v>
      </c>
      <c r="AJ17" s="136">
        <v>51</v>
      </c>
      <c r="AK17" s="136">
        <v>52</v>
      </c>
      <c r="AL17" s="136">
        <v>56</v>
      </c>
      <c r="AM17" s="136">
        <v>117</v>
      </c>
      <c r="AN17" s="136">
        <v>110</v>
      </c>
      <c r="AO17" s="136">
        <v>125</v>
      </c>
      <c r="AP17" s="136">
        <v>123</v>
      </c>
      <c r="AQ17" s="136">
        <v>265</v>
      </c>
      <c r="AR17" s="136">
        <v>125</v>
      </c>
      <c r="AS17" s="136">
        <v>99</v>
      </c>
      <c r="AT17" s="136">
        <v>100</v>
      </c>
      <c r="AU17" s="136">
        <v>97</v>
      </c>
      <c r="AV17" s="136">
        <v>91</v>
      </c>
      <c r="AW17" s="136">
        <v>86</v>
      </c>
      <c r="AX17" s="136">
        <v>82</v>
      </c>
      <c r="AY17" s="136">
        <v>80</v>
      </c>
      <c r="AZ17" s="136">
        <v>85</v>
      </c>
      <c r="BA17" s="367">
        <v>84</v>
      </c>
    </row>
    <row r="18" spans="1:53" s="426" customFormat="1" ht="12" customHeight="1">
      <c r="A18" s="487" t="s">
        <v>235</v>
      </c>
      <c r="B18" s="372"/>
      <c r="C18" s="175">
        <f>+C6+C9+C10+C12+C13+C14+C16+C17+C11</f>
        <v>27439</v>
      </c>
      <c r="D18" s="435"/>
      <c r="E18" s="175">
        <f>+E6+E9+E10+E12+E13+E14+E16+E17+E11</f>
        <v>28406</v>
      </c>
      <c r="F18" s="436"/>
      <c r="G18" s="175">
        <f>+G6+G9+G10+G12+G13+G14+G16+G17+G11</f>
        <v>28872</v>
      </c>
      <c r="H18" s="437">
        <f>+H6+H9+H10+H12+H13+H14+H16+H17+H11</f>
        <v>29824</v>
      </c>
      <c r="I18" s="437">
        <f>+I6+I9+I10+I12+I13+I14+I16+I17+I11</f>
        <v>29994</v>
      </c>
      <c r="J18" s="438">
        <f>+J6+J9+J10+J12+J13+J14+J16+J17+J11</f>
        <v>25594</v>
      </c>
      <c r="K18" s="436"/>
      <c r="L18" s="175">
        <f t="shared" ref="L18:T18" si="3">+L6+L9+L10+L12+L13+L14+L16+L17+L11</f>
        <v>25499</v>
      </c>
      <c r="M18" s="173">
        <f t="shared" si="3"/>
        <v>25458</v>
      </c>
      <c r="N18" s="173">
        <f t="shared" si="3"/>
        <v>25684</v>
      </c>
      <c r="O18" s="173">
        <f t="shared" si="3"/>
        <v>25071</v>
      </c>
      <c r="P18" s="14"/>
      <c r="Q18" s="175">
        <f t="shared" si="3"/>
        <v>25056</v>
      </c>
      <c r="R18" s="173">
        <f t="shared" si="3"/>
        <v>26163</v>
      </c>
      <c r="S18" s="173">
        <f t="shared" si="3"/>
        <v>26227</v>
      </c>
      <c r="T18" s="173">
        <f t="shared" si="3"/>
        <v>28098</v>
      </c>
      <c r="V18" s="175">
        <f>+V6+V9+V10+V12+V13+V14+V16+V17+V11</f>
        <v>28977</v>
      </c>
      <c r="W18" s="175">
        <f>+W6+W9+W10+W12+W13+W14+W16+W17+W11</f>
        <v>29263</v>
      </c>
      <c r="X18" s="175">
        <f>X6+X9+X10+X15+X16+X17</f>
        <v>30202</v>
      </c>
      <c r="Y18" s="175">
        <v>30111</v>
      </c>
      <c r="AA18" s="175">
        <v>30737</v>
      </c>
      <c r="AB18" s="175">
        <v>31303</v>
      </c>
      <c r="AC18" s="175">
        <f>+AC6+AC9+AC10+AC15+AC17</f>
        <v>32104</v>
      </c>
      <c r="AD18" s="175">
        <f>AD6+AD9+AD10+AD15+AD16+AD17</f>
        <v>32367</v>
      </c>
      <c r="AE18" s="14"/>
      <c r="AF18" s="175">
        <v>32764</v>
      </c>
      <c r="AG18" s="137">
        <f>+AG6+AG9+AG10+AG15+AG16+AG17</f>
        <v>35272</v>
      </c>
      <c r="AH18" s="137">
        <f>AH6+AH9+AH10+AH15+AH16+AH17</f>
        <v>35452</v>
      </c>
      <c r="AI18" s="137">
        <f>+AI6+AI9+AI10+AI15+AI16+AI17</f>
        <v>34671</v>
      </c>
      <c r="AJ18" s="137">
        <f>+AJ6+AJ9+AJ10+AJ15+AJ16+AJ17</f>
        <v>34429</v>
      </c>
      <c r="AK18" s="137">
        <f>+AK6+AK9+AK10+AK15+AK16+AK17</f>
        <v>35945</v>
      </c>
      <c r="AL18" s="137">
        <f>+AL6+AL9+AL10+AL15+AL16+AL17</f>
        <v>37031</v>
      </c>
      <c r="AM18" s="137">
        <f>+AM6+AM9+AM10+AM15+AM16+AM17</f>
        <v>36707</v>
      </c>
      <c r="AN18" s="137">
        <v>37174</v>
      </c>
      <c r="AO18" s="137">
        <f>+AO6+AO9+AO10+AO11+AO12+AO13+AO14+AO17</f>
        <v>37989</v>
      </c>
      <c r="AP18" s="137">
        <f t="shared" ref="AP18:BA18" si="4">+AP6+AP9+AP10+AP15+AP16+AP17</f>
        <v>39081</v>
      </c>
      <c r="AQ18" s="137">
        <f t="shared" si="4"/>
        <v>36781</v>
      </c>
      <c r="AR18" s="137">
        <f t="shared" si="4"/>
        <v>37223</v>
      </c>
      <c r="AS18" s="137">
        <f t="shared" si="4"/>
        <v>38062</v>
      </c>
      <c r="AT18" s="137">
        <f t="shared" si="4"/>
        <v>37949</v>
      </c>
      <c r="AU18" s="137">
        <f t="shared" si="4"/>
        <v>40107</v>
      </c>
      <c r="AV18" s="137">
        <f t="shared" si="4"/>
        <v>39991</v>
      </c>
      <c r="AW18" s="137">
        <f t="shared" si="4"/>
        <v>40631</v>
      </c>
      <c r="AX18" s="137">
        <v>40551</v>
      </c>
      <c r="AY18" s="137">
        <f t="shared" si="4"/>
        <v>42166</v>
      </c>
      <c r="AZ18" s="137">
        <v>43047</v>
      </c>
      <c r="BA18" s="354">
        <f t="shared" si="4"/>
        <v>44794</v>
      </c>
    </row>
    <row r="19" spans="1:53" s="426" customFormat="1" ht="12" customHeight="1">
      <c r="A19" s="500" t="s">
        <v>236</v>
      </c>
      <c r="B19" s="434"/>
      <c r="C19" s="177">
        <v>2377</v>
      </c>
      <c r="D19" s="431"/>
      <c r="E19" s="177">
        <v>2601</v>
      </c>
      <c r="F19" s="432"/>
      <c r="G19" s="177">
        <v>3156</v>
      </c>
      <c r="H19" s="433">
        <v>3261</v>
      </c>
      <c r="I19" s="433">
        <v>3408</v>
      </c>
      <c r="J19" s="427">
        <v>2726</v>
      </c>
      <c r="K19" s="432"/>
      <c r="L19" s="177">
        <v>3472</v>
      </c>
      <c r="M19" s="174">
        <v>3783</v>
      </c>
      <c r="N19" s="174">
        <v>4154</v>
      </c>
      <c r="O19" s="174">
        <v>3857</v>
      </c>
      <c r="P19" s="314"/>
      <c r="Q19" s="177">
        <v>4651</v>
      </c>
      <c r="R19" s="174">
        <v>4627</v>
      </c>
      <c r="S19" s="174">
        <v>4588</v>
      </c>
      <c r="T19" s="174">
        <v>4102</v>
      </c>
      <c r="V19" s="177">
        <v>4484</v>
      </c>
      <c r="W19" s="177">
        <v>4362</v>
      </c>
      <c r="X19" s="177">
        <v>4329</v>
      </c>
      <c r="Y19" s="177">
        <v>3783</v>
      </c>
      <c r="AA19" s="177">
        <v>3996</v>
      </c>
      <c r="AB19" s="177">
        <v>3624</v>
      </c>
      <c r="AC19" s="177">
        <v>3910</v>
      </c>
      <c r="AD19" s="177">
        <v>3555</v>
      </c>
      <c r="AE19" s="314"/>
      <c r="AF19" s="177">
        <v>4522</v>
      </c>
      <c r="AG19" s="136">
        <v>4883</v>
      </c>
      <c r="AH19" s="136">
        <v>5209</v>
      </c>
      <c r="AI19" s="136">
        <v>5436</v>
      </c>
      <c r="AJ19" s="136">
        <v>5838</v>
      </c>
      <c r="AK19" s="136">
        <v>6534</v>
      </c>
      <c r="AL19" s="136">
        <v>6673</v>
      </c>
      <c r="AM19" s="136">
        <v>7523</v>
      </c>
      <c r="AN19" s="136">
        <v>7340</v>
      </c>
      <c r="AO19" s="136">
        <v>7876</v>
      </c>
      <c r="AP19" s="136">
        <v>7769</v>
      </c>
      <c r="AQ19" s="136">
        <v>7506</v>
      </c>
      <c r="AR19" s="136">
        <v>6822</v>
      </c>
      <c r="AS19" s="136">
        <v>7239</v>
      </c>
      <c r="AT19" s="136">
        <v>7075</v>
      </c>
      <c r="AU19" s="136">
        <v>7037</v>
      </c>
      <c r="AV19" s="136">
        <v>7232</v>
      </c>
      <c r="AW19" s="136">
        <v>7617</v>
      </c>
      <c r="AX19" s="136">
        <v>8111</v>
      </c>
      <c r="AY19" s="136">
        <v>8312</v>
      </c>
      <c r="AZ19" s="136">
        <v>10992</v>
      </c>
      <c r="BA19" s="367">
        <v>10746</v>
      </c>
    </row>
    <row r="20" spans="1:53" s="426" customFormat="1" ht="12" customHeight="1">
      <c r="A20" s="500" t="s">
        <v>237</v>
      </c>
      <c r="B20" s="434"/>
      <c r="C20" s="177">
        <v>1407</v>
      </c>
      <c r="D20" s="431"/>
      <c r="E20" s="177">
        <v>1000</v>
      </c>
      <c r="F20" s="432"/>
      <c r="G20" s="177">
        <v>511</v>
      </c>
      <c r="H20" s="433">
        <v>629</v>
      </c>
      <c r="I20" s="433">
        <v>450</v>
      </c>
      <c r="J20" s="427">
        <v>676</v>
      </c>
      <c r="K20" s="432"/>
      <c r="L20" s="177">
        <v>750</v>
      </c>
      <c r="M20" s="174">
        <v>665</v>
      </c>
      <c r="N20" s="174">
        <v>700</v>
      </c>
      <c r="O20" s="174">
        <v>1034</v>
      </c>
      <c r="P20" s="314"/>
      <c r="Q20" s="177">
        <v>730</v>
      </c>
      <c r="R20" s="174">
        <v>683</v>
      </c>
      <c r="S20" s="174">
        <v>782</v>
      </c>
      <c r="T20" s="174">
        <v>310</v>
      </c>
      <c r="V20" s="177">
        <v>540</v>
      </c>
      <c r="W20" s="177">
        <v>206</v>
      </c>
      <c r="X20" s="177">
        <v>242</v>
      </c>
      <c r="Y20" s="177">
        <v>243</v>
      </c>
      <c r="AA20" s="177">
        <v>153</v>
      </c>
      <c r="AB20" s="177">
        <v>334</v>
      </c>
      <c r="AC20" s="177">
        <v>406</v>
      </c>
      <c r="AD20" s="177">
        <v>351</v>
      </c>
      <c r="AE20" s="314"/>
      <c r="AF20" s="177">
        <v>427</v>
      </c>
      <c r="AG20" s="136">
        <v>490</v>
      </c>
      <c r="AH20" s="136">
        <v>773</v>
      </c>
      <c r="AI20" s="136">
        <v>600</v>
      </c>
      <c r="AJ20" s="136">
        <v>995</v>
      </c>
      <c r="AK20" s="136">
        <v>1018</v>
      </c>
      <c r="AL20" s="136">
        <v>740</v>
      </c>
      <c r="AM20" s="136">
        <v>620</v>
      </c>
      <c r="AN20" s="136">
        <v>691</v>
      </c>
      <c r="AO20" s="136">
        <v>436</v>
      </c>
      <c r="AP20" s="136">
        <v>1099</v>
      </c>
      <c r="AQ20" s="136">
        <v>471</v>
      </c>
      <c r="AR20" s="136">
        <v>1121</v>
      </c>
      <c r="AS20" s="136">
        <v>966</v>
      </c>
      <c r="AT20" s="136">
        <v>1037</v>
      </c>
      <c r="AU20" s="136">
        <v>885</v>
      </c>
      <c r="AV20" s="136">
        <v>739</v>
      </c>
      <c r="AW20" s="136">
        <v>786</v>
      </c>
      <c r="AX20" s="136">
        <v>1029</v>
      </c>
      <c r="AY20" s="136">
        <v>1239</v>
      </c>
      <c r="AZ20" s="136">
        <v>1521</v>
      </c>
      <c r="BA20" s="367">
        <v>1196</v>
      </c>
    </row>
    <row r="21" spans="1:53" s="426" customFormat="1" ht="12" customHeight="1">
      <c r="A21" s="500" t="s">
        <v>238</v>
      </c>
      <c r="B21" s="434"/>
      <c r="C21" s="177">
        <v>312</v>
      </c>
      <c r="D21" s="431"/>
      <c r="E21" s="177">
        <v>412</v>
      </c>
      <c r="F21" s="432"/>
      <c r="G21" s="177">
        <v>264</v>
      </c>
      <c r="H21" s="433">
        <v>256</v>
      </c>
      <c r="I21" s="433">
        <v>204</v>
      </c>
      <c r="J21" s="427">
        <v>188</v>
      </c>
      <c r="K21" s="432"/>
      <c r="L21" s="177">
        <v>148</v>
      </c>
      <c r="M21" s="174">
        <v>166</v>
      </c>
      <c r="N21" s="174">
        <v>162</v>
      </c>
      <c r="O21" s="174">
        <v>214</v>
      </c>
      <c r="P21" s="314"/>
      <c r="Q21" s="177">
        <v>160</v>
      </c>
      <c r="R21" s="174">
        <v>166</v>
      </c>
      <c r="S21" s="174">
        <v>167</v>
      </c>
      <c r="T21" s="174">
        <v>275</v>
      </c>
      <c r="V21" s="177">
        <v>171</v>
      </c>
      <c r="W21" s="177">
        <v>222</v>
      </c>
      <c r="X21" s="177">
        <v>336</v>
      </c>
      <c r="Y21" s="177">
        <v>435</v>
      </c>
      <c r="AA21" s="177">
        <v>355</v>
      </c>
      <c r="AB21" s="177">
        <v>343</v>
      </c>
      <c r="AC21" s="177">
        <v>282</v>
      </c>
      <c r="AD21" s="177">
        <v>217</v>
      </c>
      <c r="AE21" s="314"/>
      <c r="AF21" s="177">
        <v>337</v>
      </c>
      <c r="AG21" s="136">
        <v>181</v>
      </c>
      <c r="AH21" s="136">
        <v>194</v>
      </c>
      <c r="AI21" s="136">
        <v>301</v>
      </c>
      <c r="AJ21" s="136">
        <v>193</v>
      </c>
      <c r="AK21" s="136">
        <v>249</v>
      </c>
      <c r="AL21" s="136">
        <v>227</v>
      </c>
      <c r="AM21" s="136">
        <v>312</v>
      </c>
      <c r="AN21" s="136">
        <v>319</v>
      </c>
      <c r="AO21" s="136">
        <v>296</v>
      </c>
      <c r="AP21" s="136">
        <v>274</v>
      </c>
      <c r="AQ21" s="136">
        <v>932</v>
      </c>
      <c r="AR21" s="136">
        <v>577</v>
      </c>
      <c r="AS21" s="136">
        <v>298</v>
      </c>
      <c r="AT21" s="136">
        <v>271</v>
      </c>
      <c r="AU21" s="136">
        <v>396</v>
      </c>
      <c r="AV21" s="136">
        <v>290</v>
      </c>
      <c r="AW21" s="136">
        <v>267</v>
      </c>
      <c r="AX21" s="136">
        <v>414</v>
      </c>
      <c r="AY21" s="136">
        <v>588</v>
      </c>
      <c r="AZ21" s="136">
        <v>572</v>
      </c>
      <c r="BA21" s="367">
        <v>756</v>
      </c>
    </row>
    <row r="22" spans="1:53" s="426" customFormat="1" ht="12" customHeight="1">
      <c r="A22" s="500" t="s">
        <v>229</v>
      </c>
      <c r="B22" s="434"/>
      <c r="C22" s="177">
        <v>267</v>
      </c>
      <c r="D22" s="431"/>
      <c r="E22" s="177">
        <v>6</v>
      </c>
      <c r="F22" s="432"/>
      <c r="G22" s="177">
        <v>80</v>
      </c>
      <c r="H22" s="433">
        <v>33</v>
      </c>
      <c r="I22" s="433">
        <v>56</v>
      </c>
      <c r="J22" s="427">
        <v>72</v>
      </c>
      <c r="K22" s="432"/>
      <c r="L22" s="177">
        <v>76</v>
      </c>
      <c r="M22" s="174">
        <v>99</v>
      </c>
      <c r="N22" s="174">
        <v>109</v>
      </c>
      <c r="O22" s="174">
        <v>195</v>
      </c>
      <c r="P22" s="314"/>
      <c r="Q22" s="177">
        <v>263</v>
      </c>
      <c r="R22" s="174">
        <v>158</v>
      </c>
      <c r="S22" s="174">
        <v>243</v>
      </c>
      <c r="T22" s="174">
        <v>300</v>
      </c>
      <c r="V22" s="177">
        <v>139</v>
      </c>
      <c r="W22" s="177">
        <v>323</v>
      </c>
      <c r="X22" s="177">
        <v>363</v>
      </c>
      <c r="Y22" s="177">
        <v>291</v>
      </c>
      <c r="AA22" s="177">
        <v>892</v>
      </c>
      <c r="AB22" s="177">
        <v>222</v>
      </c>
      <c r="AC22" s="177">
        <v>269</v>
      </c>
      <c r="AD22" s="177">
        <v>210</v>
      </c>
      <c r="AE22" s="314"/>
      <c r="AF22" s="177">
        <v>216</v>
      </c>
      <c r="AG22" s="136">
        <v>293</v>
      </c>
      <c r="AH22" s="136">
        <v>333</v>
      </c>
      <c r="AI22" s="136">
        <v>254</v>
      </c>
      <c r="AJ22" s="136">
        <v>192</v>
      </c>
      <c r="AK22" s="136">
        <v>587</v>
      </c>
      <c r="AL22" s="136">
        <v>826</v>
      </c>
      <c r="AM22" s="136">
        <v>796</v>
      </c>
      <c r="AN22" s="136">
        <v>611</v>
      </c>
      <c r="AO22" s="136">
        <v>766</v>
      </c>
      <c r="AP22" s="136">
        <v>439</v>
      </c>
      <c r="AQ22" s="136">
        <v>760</v>
      </c>
      <c r="AR22" s="136">
        <v>591</v>
      </c>
      <c r="AS22" s="136">
        <v>406</v>
      </c>
      <c r="AT22" s="136">
        <v>310</v>
      </c>
      <c r="AU22" s="136">
        <v>219</v>
      </c>
      <c r="AV22" s="136">
        <v>196</v>
      </c>
      <c r="AW22" s="136">
        <v>293</v>
      </c>
      <c r="AX22" s="136">
        <v>243</v>
      </c>
      <c r="AY22" s="136">
        <v>128</v>
      </c>
      <c r="AZ22" s="136">
        <v>256</v>
      </c>
      <c r="BA22" s="367">
        <v>426</v>
      </c>
    </row>
    <row r="23" spans="1:53" s="426" customFormat="1" ht="12" customHeight="1">
      <c r="A23" s="500" t="s">
        <v>240</v>
      </c>
      <c r="B23" s="434"/>
      <c r="C23" s="177">
        <v>425</v>
      </c>
      <c r="D23" s="431"/>
      <c r="E23" s="177">
        <v>537</v>
      </c>
      <c r="F23" s="432"/>
      <c r="G23" s="177">
        <v>680</v>
      </c>
      <c r="H23" s="433">
        <v>618</v>
      </c>
      <c r="I23" s="433">
        <v>595</v>
      </c>
      <c r="J23" s="427">
        <v>362</v>
      </c>
      <c r="K23" s="432"/>
      <c r="L23" s="177">
        <v>258</v>
      </c>
      <c r="M23" s="174">
        <v>439</v>
      </c>
      <c r="N23" s="174">
        <v>399</v>
      </c>
      <c r="O23" s="174">
        <v>342</v>
      </c>
      <c r="P23" s="314"/>
      <c r="Q23" s="177">
        <v>405</v>
      </c>
      <c r="R23" s="174">
        <v>693</v>
      </c>
      <c r="S23" s="174">
        <f>476+93</f>
        <v>569</v>
      </c>
      <c r="T23" s="174">
        <v>538</v>
      </c>
      <c r="V23" s="177">
        <v>623</v>
      </c>
      <c r="W23" s="177">
        <f>751+194</f>
        <v>945</v>
      </c>
      <c r="X23" s="177">
        <f>853+126</f>
        <v>979</v>
      </c>
      <c r="Y23" s="177">
        <v>610</v>
      </c>
      <c r="AA23" s="177">
        <v>865</v>
      </c>
      <c r="AB23" s="177">
        <f>265+295+192</f>
        <v>752</v>
      </c>
      <c r="AC23" s="177">
        <v>523</v>
      </c>
      <c r="AD23" s="177">
        <f>128+268+66+45</f>
        <v>507</v>
      </c>
      <c r="AE23" s="314"/>
      <c r="AF23" s="177">
        <f>12+382+115</f>
        <v>509</v>
      </c>
      <c r="AG23" s="136">
        <f>4+113+162</f>
        <v>279</v>
      </c>
      <c r="AH23" s="136">
        <f>21+124+103</f>
        <v>248</v>
      </c>
      <c r="AI23" s="136">
        <v>864</v>
      </c>
      <c r="AJ23" s="136">
        <v>428</v>
      </c>
      <c r="AK23" s="136">
        <v>844</v>
      </c>
      <c r="AL23" s="136">
        <v>1091</v>
      </c>
      <c r="AM23" s="136">
        <v>1052</v>
      </c>
      <c r="AN23" s="136">
        <v>784</v>
      </c>
      <c r="AO23" s="136">
        <v>1027</v>
      </c>
      <c r="AP23" s="136">
        <v>1324</v>
      </c>
      <c r="AQ23" s="136">
        <v>965</v>
      </c>
      <c r="AR23" s="136">
        <v>1419</v>
      </c>
      <c r="AS23" s="136">
        <v>1559</v>
      </c>
      <c r="AT23" s="136">
        <v>1388</v>
      </c>
      <c r="AU23" s="136">
        <f>683+540+171</f>
        <v>1394</v>
      </c>
      <c r="AV23" s="136">
        <v>1589</v>
      </c>
      <c r="AW23" s="136">
        <v>1198</v>
      </c>
      <c r="AX23" s="136">
        <v>990</v>
      </c>
      <c r="AY23" s="136">
        <v>911</v>
      </c>
      <c r="AZ23" s="136">
        <v>637</v>
      </c>
      <c r="BA23" s="367">
        <v>1122</v>
      </c>
    </row>
    <row r="24" spans="1:53" s="426" customFormat="1" ht="12" customHeight="1">
      <c r="A24" s="500" t="s">
        <v>241</v>
      </c>
      <c r="B24" s="434"/>
      <c r="C24" s="177">
        <v>85</v>
      </c>
      <c r="D24" s="431"/>
      <c r="E24" s="177">
        <v>158</v>
      </c>
      <c r="F24" s="432"/>
      <c r="G24" s="177">
        <v>261</v>
      </c>
      <c r="H24" s="433">
        <v>392</v>
      </c>
      <c r="I24" s="433">
        <v>359</v>
      </c>
      <c r="J24" s="427">
        <v>482</v>
      </c>
      <c r="K24" s="432"/>
      <c r="L24" s="177">
        <v>345</v>
      </c>
      <c r="M24" s="174">
        <v>118</v>
      </c>
      <c r="N24" s="174">
        <v>124</v>
      </c>
      <c r="O24" s="174">
        <v>234</v>
      </c>
      <c r="P24" s="314"/>
      <c r="Q24" s="177">
        <v>215</v>
      </c>
      <c r="R24" s="174">
        <v>249</v>
      </c>
      <c r="S24" s="174">
        <v>429</v>
      </c>
      <c r="T24" s="174">
        <v>627</v>
      </c>
      <c r="V24" s="177">
        <v>327</v>
      </c>
      <c r="W24" s="177">
        <v>726</v>
      </c>
      <c r="X24" s="177">
        <v>337</v>
      </c>
      <c r="Y24" s="177">
        <v>516</v>
      </c>
      <c r="AA24" s="177">
        <v>1899</v>
      </c>
      <c r="AB24" s="177">
        <v>1707</v>
      </c>
      <c r="AC24" s="177">
        <v>781</v>
      </c>
      <c r="AD24" s="177">
        <v>2135</v>
      </c>
      <c r="AE24" s="314"/>
      <c r="AF24" s="177">
        <v>1155</v>
      </c>
      <c r="AG24" s="136">
        <v>712</v>
      </c>
      <c r="AH24" s="136">
        <v>393</v>
      </c>
      <c r="AI24" s="136">
        <v>1332</v>
      </c>
      <c r="AJ24" s="136">
        <v>2654</v>
      </c>
      <c r="AK24" s="136">
        <v>2029</v>
      </c>
      <c r="AL24" s="136">
        <v>1703</v>
      </c>
      <c r="AM24" s="136">
        <v>985</v>
      </c>
      <c r="AN24" s="136">
        <v>1271</v>
      </c>
      <c r="AO24" s="136">
        <v>1575</v>
      </c>
      <c r="AP24" s="136">
        <v>1081</v>
      </c>
      <c r="AQ24" s="136">
        <v>1481</v>
      </c>
      <c r="AR24" s="136">
        <v>685</v>
      </c>
      <c r="AS24" s="136">
        <v>2195</v>
      </c>
      <c r="AT24" s="136">
        <v>914</v>
      </c>
      <c r="AU24" s="136">
        <v>367</v>
      </c>
      <c r="AV24" s="136">
        <v>684</v>
      </c>
      <c r="AW24" s="136">
        <v>297</v>
      </c>
      <c r="AX24" s="136">
        <v>295</v>
      </c>
      <c r="AY24" s="136">
        <v>216</v>
      </c>
      <c r="AZ24" s="136">
        <v>262</v>
      </c>
      <c r="BA24" s="367">
        <v>894</v>
      </c>
    </row>
    <row r="25" spans="1:53" s="426" customFormat="1" ht="12" customHeight="1">
      <c r="A25" s="487" t="s">
        <v>243</v>
      </c>
      <c r="B25" s="372"/>
      <c r="C25" s="175">
        <f>+C19+C20+C21+C22+C23+C24</f>
        <v>4873</v>
      </c>
      <c r="D25" s="435"/>
      <c r="E25" s="175">
        <f>+E19+E20+E21+E22+E23+E24</f>
        <v>4714</v>
      </c>
      <c r="F25" s="436"/>
      <c r="G25" s="175">
        <f>+G19+G20+G21+G22+G23+G24</f>
        <v>4952</v>
      </c>
      <c r="H25" s="437">
        <f>+H19+H20+H21+H22+H23+H24</f>
        <v>5189</v>
      </c>
      <c r="I25" s="437">
        <f>+I19+I20+I21+I22+I23+I24</f>
        <v>5072</v>
      </c>
      <c r="J25" s="438">
        <f>+J19+J20+J21+J22+J23+J24</f>
        <v>4506</v>
      </c>
      <c r="K25" s="436"/>
      <c r="L25" s="175">
        <f t="shared" ref="L25:R25" si="5">+L19+L20+L21+L22+L23+L24</f>
        <v>5049</v>
      </c>
      <c r="M25" s="173">
        <f t="shared" si="5"/>
        <v>5270</v>
      </c>
      <c r="N25" s="173">
        <f t="shared" si="5"/>
        <v>5648</v>
      </c>
      <c r="O25" s="173">
        <f t="shared" si="5"/>
        <v>5876</v>
      </c>
      <c r="P25" s="14"/>
      <c r="Q25" s="175">
        <f t="shared" si="5"/>
        <v>6424</v>
      </c>
      <c r="R25" s="173">
        <f t="shared" si="5"/>
        <v>6576</v>
      </c>
      <c r="S25" s="173">
        <f>+S19+S20+S21+S22+S23+S24</f>
        <v>6778</v>
      </c>
      <c r="T25" s="173">
        <f>+T19+T20+T21+T22+T23+T24</f>
        <v>6152</v>
      </c>
      <c r="V25" s="175">
        <f>+V19+V20+V21+V22+V23+V24</f>
        <v>6284</v>
      </c>
      <c r="W25" s="175">
        <f>+W19+W20+W21+W22+W23+W24</f>
        <v>6784</v>
      </c>
      <c r="X25" s="175">
        <f>X19+X20+X21+X22+X23+X24</f>
        <v>6586</v>
      </c>
      <c r="Y25" s="175">
        <v>5878</v>
      </c>
      <c r="AA25" s="175">
        <v>8160</v>
      </c>
      <c r="AB25" s="175">
        <v>6982</v>
      </c>
      <c r="AC25" s="175">
        <f>+AC19+AC20+AC21+AC22+AC23+AC24</f>
        <v>6171</v>
      </c>
      <c r="AD25" s="175">
        <f>AD19+AD20+AD21+AD22+AD23+AD24</f>
        <v>6975</v>
      </c>
      <c r="AE25" s="14"/>
      <c r="AF25" s="175">
        <v>7166</v>
      </c>
      <c r="AG25" s="137">
        <f>+AG19+AG20+AG21+AG22+AG23+AG24</f>
        <v>6838</v>
      </c>
      <c r="AH25" s="137">
        <f t="shared" ref="AH25:AM25" si="6">AH19+AH20+AH21+AH22+AH23+AH24</f>
        <v>7150</v>
      </c>
      <c r="AI25" s="137">
        <f t="shared" si="6"/>
        <v>8787</v>
      </c>
      <c r="AJ25" s="137">
        <f t="shared" si="6"/>
        <v>10300</v>
      </c>
      <c r="AK25" s="137">
        <f t="shared" si="6"/>
        <v>11261</v>
      </c>
      <c r="AL25" s="137">
        <f t="shared" si="6"/>
        <v>11260</v>
      </c>
      <c r="AM25" s="137">
        <f t="shared" si="6"/>
        <v>11288</v>
      </c>
      <c r="AN25" s="137">
        <v>11016</v>
      </c>
      <c r="AO25" s="137">
        <f t="shared" ref="AO25:AU25" si="7">+AO19+AO20+AO21+AO22+AO23+AO24</f>
        <v>11976</v>
      </c>
      <c r="AP25" s="137">
        <f t="shared" si="7"/>
        <v>11986</v>
      </c>
      <c r="AQ25" s="137">
        <f t="shared" si="7"/>
        <v>12115</v>
      </c>
      <c r="AR25" s="137">
        <f t="shared" si="7"/>
        <v>11215</v>
      </c>
      <c r="AS25" s="137">
        <f t="shared" si="7"/>
        <v>12663</v>
      </c>
      <c r="AT25" s="137">
        <f t="shared" si="7"/>
        <v>10995</v>
      </c>
      <c r="AU25" s="137">
        <f t="shared" si="7"/>
        <v>10298</v>
      </c>
      <c r="AV25" s="137">
        <f>+AV19+AV20+AV21+AV22+AV23+AV24</f>
        <v>10730</v>
      </c>
      <c r="AW25" s="137">
        <f>+AW19+AW20+AW21+AW22+AW23+AW24</f>
        <v>10458</v>
      </c>
      <c r="AX25" s="137">
        <v>11082</v>
      </c>
      <c r="AY25" s="137">
        <f>+AY19+AY20+AY21+AY22+AY23+AY24</f>
        <v>11394</v>
      </c>
      <c r="AZ25" s="137">
        <v>14240</v>
      </c>
      <c r="BA25" s="354">
        <f>+BA19+BA20+BA21+BA22+BA23+BA24</f>
        <v>15140</v>
      </c>
    </row>
    <row r="26" spans="1:53" s="439" customFormat="1" ht="9.75" customHeight="1">
      <c r="A26" s="487" t="s">
        <v>244</v>
      </c>
      <c r="B26" s="372"/>
      <c r="C26" s="175">
        <f>C18+C25</f>
        <v>32312</v>
      </c>
      <c r="D26" s="435"/>
      <c r="E26" s="175">
        <f>E18+E25</f>
        <v>33120</v>
      </c>
      <c r="F26" s="436"/>
      <c r="G26" s="175">
        <f>G18+G25</f>
        <v>33824</v>
      </c>
      <c r="H26" s="437">
        <f>H18+H25</f>
        <v>35013</v>
      </c>
      <c r="I26" s="437">
        <f>I18+I25</f>
        <v>35066</v>
      </c>
      <c r="J26" s="438">
        <f>J18+J25</f>
        <v>30100</v>
      </c>
      <c r="K26" s="436"/>
      <c r="L26" s="175">
        <f t="shared" ref="L26:R26" si="8">L18+L25</f>
        <v>30548</v>
      </c>
      <c r="M26" s="173">
        <f t="shared" si="8"/>
        <v>30728</v>
      </c>
      <c r="N26" s="173">
        <f t="shared" si="8"/>
        <v>31332</v>
      </c>
      <c r="O26" s="173">
        <f t="shared" si="8"/>
        <v>30947</v>
      </c>
      <c r="P26" s="14"/>
      <c r="Q26" s="175">
        <f t="shared" si="8"/>
        <v>31480</v>
      </c>
      <c r="R26" s="173">
        <f t="shared" si="8"/>
        <v>32739</v>
      </c>
      <c r="S26" s="173">
        <f>S18+S25</f>
        <v>33005</v>
      </c>
      <c r="T26" s="173">
        <f>T18+T25</f>
        <v>34250</v>
      </c>
      <c r="U26" s="426"/>
      <c r="V26" s="175">
        <f>V18+V25</f>
        <v>35261</v>
      </c>
      <c r="W26" s="175">
        <f>W18+W25</f>
        <v>36047</v>
      </c>
      <c r="X26" s="175">
        <f>X18+X25</f>
        <v>36788</v>
      </c>
      <c r="Y26" s="175">
        <v>35989</v>
      </c>
      <c r="Z26" s="426"/>
      <c r="AA26" s="175">
        <v>38897</v>
      </c>
      <c r="AB26" s="175">
        <v>38285</v>
      </c>
      <c r="AC26" s="175">
        <f>+AC25+AC18</f>
        <v>38275</v>
      </c>
      <c r="AD26" s="175">
        <f>AD18+AD25</f>
        <v>39342</v>
      </c>
      <c r="AE26" s="14"/>
      <c r="AF26" s="175">
        <v>39930</v>
      </c>
      <c r="AG26" s="207">
        <f>+AG18+AG25</f>
        <v>42110</v>
      </c>
      <c r="AH26" s="207">
        <f t="shared" ref="AH26:AM26" si="9">AH18+AH25</f>
        <v>42602</v>
      </c>
      <c r="AI26" s="207">
        <f t="shared" si="9"/>
        <v>43458</v>
      </c>
      <c r="AJ26" s="207">
        <f t="shared" si="9"/>
        <v>44729</v>
      </c>
      <c r="AK26" s="207">
        <f t="shared" si="9"/>
        <v>47206</v>
      </c>
      <c r="AL26" s="207">
        <f t="shared" si="9"/>
        <v>48291</v>
      </c>
      <c r="AM26" s="207">
        <f t="shared" si="9"/>
        <v>47995</v>
      </c>
      <c r="AN26" s="207">
        <v>48190</v>
      </c>
      <c r="AO26" s="207">
        <f>+AO18+AO25</f>
        <v>49965</v>
      </c>
      <c r="AP26" s="207">
        <f t="shared" ref="AP26:AU26" si="10">+AP25+AP18</f>
        <v>51067</v>
      </c>
      <c r="AQ26" s="207">
        <f t="shared" si="10"/>
        <v>48896</v>
      </c>
      <c r="AR26" s="207">
        <f t="shared" si="10"/>
        <v>48438</v>
      </c>
      <c r="AS26" s="207">
        <f t="shared" si="10"/>
        <v>50725</v>
      </c>
      <c r="AT26" s="207">
        <f t="shared" si="10"/>
        <v>48944</v>
      </c>
      <c r="AU26" s="207">
        <f t="shared" si="10"/>
        <v>50405</v>
      </c>
      <c r="AV26" s="207">
        <f>+AV18+AV25</f>
        <v>50721</v>
      </c>
      <c r="AW26" s="207">
        <f>+AW18+AW25</f>
        <v>51089</v>
      </c>
      <c r="AX26" s="207">
        <v>51633</v>
      </c>
      <c r="AY26" s="207">
        <f>+AY18+AY25</f>
        <v>53560</v>
      </c>
      <c r="AZ26" s="207">
        <v>57287</v>
      </c>
      <c r="BA26" s="366">
        <f>+BA18+BA25</f>
        <v>59934</v>
      </c>
    </row>
    <row r="27" spans="1:53" s="441" customFormat="1" ht="6" customHeight="1">
      <c r="A27" s="534"/>
      <c r="B27" s="425"/>
      <c r="C27" s="440"/>
      <c r="D27" s="435"/>
      <c r="E27" s="436"/>
      <c r="F27" s="436"/>
      <c r="G27" s="436"/>
      <c r="H27" s="436"/>
      <c r="I27" s="436"/>
      <c r="J27" s="440"/>
      <c r="K27" s="436"/>
      <c r="L27" s="436"/>
      <c r="M27" s="14"/>
      <c r="N27" s="14"/>
      <c r="O27" s="14"/>
      <c r="P27" s="14"/>
      <c r="Q27" s="14"/>
      <c r="R27" s="14"/>
      <c r="S27" s="14"/>
      <c r="T27" s="14"/>
      <c r="V27" s="14"/>
      <c r="W27" s="14"/>
      <c r="X27" s="219"/>
      <c r="Y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row>
    <row r="28" spans="1:53" s="426" customFormat="1" ht="12" customHeight="1">
      <c r="A28" s="535" t="s">
        <v>245</v>
      </c>
      <c r="B28" s="372"/>
      <c r="C28" s="442"/>
      <c r="D28" s="443"/>
      <c r="E28" s="444"/>
      <c r="F28" s="436"/>
      <c r="G28" s="444"/>
      <c r="H28" s="444"/>
      <c r="I28" s="444"/>
      <c r="J28" s="442"/>
      <c r="K28" s="436"/>
      <c r="L28" s="444"/>
      <c r="M28" s="176"/>
      <c r="N28" s="176"/>
      <c r="O28" s="176"/>
      <c r="P28" s="314"/>
      <c r="Q28" s="176"/>
      <c r="R28" s="176"/>
      <c r="S28" s="176"/>
      <c r="T28" s="176"/>
      <c r="V28" s="176"/>
      <c r="W28" s="176"/>
      <c r="X28" s="218"/>
      <c r="Y28" s="218"/>
      <c r="AA28" s="218"/>
      <c r="AB28" s="218"/>
      <c r="AC28" s="218"/>
      <c r="AD28" s="218"/>
      <c r="AE28" s="316"/>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row>
    <row r="29" spans="1:53" s="426" customFormat="1" ht="12" customHeight="1">
      <c r="A29" s="500" t="s">
        <v>246</v>
      </c>
      <c r="B29" s="434"/>
      <c r="C29" s="177">
        <v>2000</v>
      </c>
      <c r="D29" s="431"/>
      <c r="E29" s="177">
        <v>2000</v>
      </c>
      <c r="F29" s="432"/>
      <c r="G29" s="177">
        <v>2000</v>
      </c>
      <c r="H29" s="433">
        <v>2000</v>
      </c>
      <c r="I29" s="433">
        <v>2000</v>
      </c>
      <c r="J29" s="427">
        <v>2000</v>
      </c>
      <c r="K29" s="432"/>
      <c r="L29" s="177">
        <v>2000</v>
      </c>
      <c r="M29" s="174">
        <v>2000</v>
      </c>
      <c r="N29" s="174">
        <v>2000</v>
      </c>
      <c r="O29" s="174">
        <v>2000</v>
      </c>
      <c r="P29" s="314"/>
      <c r="Q29" s="177">
        <v>2000</v>
      </c>
      <c r="R29" s="174">
        <v>2000</v>
      </c>
      <c r="S29" s="174">
        <v>2000</v>
      </c>
      <c r="T29" s="174">
        <v>2000</v>
      </c>
      <c r="V29" s="177">
        <v>2000</v>
      </c>
      <c r="W29" s="177">
        <v>2000</v>
      </c>
      <c r="X29" s="177">
        <v>2000</v>
      </c>
      <c r="Y29" s="177">
        <v>2000</v>
      </c>
      <c r="AA29" s="177">
        <v>2000</v>
      </c>
      <c r="AB29" s="177">
        <v>2000</v>
      </c>
      <c r="AC29" s="177">
        <v>2000</v>
      </c>
      <c r="AD29" s="177">
        <v>2000</v>
      </c>
      <c r="AE29" s="314"/>
      <c r="AF29" s="177">
        <v>2000</v>
      </c>
      <c r="AG29" s="136">
        <v>2000</v>
      </c>
      <c r="AH29" s="136">
        <v>2000</v>
      </c>
      <c r="AI29" s="136">
        <v>2000</v>
      </c>
      <c r="AJ29" s="136">
        <v>2000</v>
      </c>
      <c r="AK29" s="136">
        <v>2000</v>
      </c>
      <c r="AL29" s="136">
        <v>2000</v>
      </c>
      <c r="AM29" s="136">
        <v>2000</v>
      </c>
      <c r="AN29" s="136">
        <v>2000</v>
      </c>
      <c r="AO29" s="136">
        <v>2000</v>
      </c>
      <c r="AP29" s="136">
        <v>2000</v>
      </c>
      <c r="AQ29" s="136">
        <v>2000</v>
      </c>
      <c r="AR29" s="136">
        <v>2000</v>
      </c>
      <c r="AS29" s="136">
        <v>2000</v>
      </c>
      <c r="AT29" s="136">
        <v>2000</v>
      </c>
      <c r="AU29" s="136">
        <v>2000</v>
      </c>
      <c r="AV29" s="136">
        <v>2000</v>
      </c>
      <c r="AW29" s="136">
        <v>2000</v>
      </c>
      <c r="AX29" s="136">
        <v>2000</v>
      </c>
      <c r="AY29" s="136">
        <v>2000</v>
      </c>
      <c r="AZ29" s="136">
        <v>2000</v>
      </c>
      <c r="BA29" s="367">
        <v>2000</v>
      </c>
    </row>
    <row r="30" spans="1:53" s="426" customFormat="1" ht="12" customHeight="1">
      <c r="A30" s="500" t="s">
        <v>247</v>
      </c>
      <c r="B30" s="434"/>
      <c r="C30" s="177">
        <v>366</v>
      </c>
      <c r="D30" s="431"/>
      <c r="E30" s="177">
        <v>-103</v>
      </c>
      <c r="F30" s="432"/>
      <c r="G30" s="177">
        <v>9</v>
      </c>
      <c r="H30" s="433">
        <v>-83</v>
      </c>
      <c r="I30" s="433">
        <v>-88</v>
      </c>
      <c r="J30" s="427">
        <v>-196</v>
      </c>
      <c r="K30" s="432"/>
      <c r="L30" s="177">
        <v>8</v>
      </c>
      <c r="M30" s="174">
        <v>87</v>
      </c>
      <c r="N30" s="174">
        <v>144</v>
      </c>
      <c r="O30" s="174">
        <v>142</v>
      </c>
      <c r="P30" s="314"/>
      <c r="Q30" s="177">
        <v>-439</v>
      </c>
      <c r="R30" s="174">
        <v>-518</v>
      </c>
      <c r="S30" s="174">
        <v>-419</v>
      </c>
      <c r="T30" s="174">
        <v>-307</v>
      </c>
      <c r="V30" s="177">
        <v>-552</v>
      </c>
      <c r="W30" s="177">
        <v>-437</v>
      </c>
      <c r="X30" s="177">
        <v>-730</v>
      </c>
      <c r="Y30" s="177">
        <v>-698</v>
      </c>
      <c r="AA30" s="177">
        <v>-748</v>
      </c>
      <c r="AB30" s="177">
        <v>-860</v>
      </c>
      <c r="AC30" s="177">
        <v>-743</v>
      </c>
      <c r="AD30" s="177">
        <v>-1390</v>
      </c>
      <c r="AE30" s="314"/>
      <c r="AF30" s="177">
        <v>-2151</v>
      </c>
      <c r="AG30" s="136">
        <v>-2041</v>
      </c>
      <c r="AH30" s="136">
        <v>-1412</v>
      </c>
      <c r="AI30" s="136">
        <v>-1670</v>
      </c>
      <c r="AJ30" s="136">
        <v>-1921</v>
      </c>
      <c r="AK30" s="136">
        <v>-643</v>
      </c>
      <c r="AL30" s="136">
        <v>-1049</v>
      </c>
      <c r="AM30" s="136">
        <v>-395</v>
      </c>
      <c r="AN30" s="136">
        <v>-435</v>
      </c>
      <c r="AO30" s="136">
        <v>222</v>
      </c>
      <c r="AP30" s="136">
        <v>63</v>
      </c>
      <c r="AQ30" s="136">
        <v>320</v>
      </c>
      <c r="AR30" s="136">
        <v>91</v>
      </c>
      <c r="AS30" s="136">
        <v>88</v>
      </c>
      <c r="AT30" s="136">
        <v>-75</v>
      </c>
      <c r="AU30" s="136">
        <v>-117</v>
      </c>
      <c r="AV30" s="136">
        <v>104</v>
      </c>
      <c r="AW30" s="136">
        <v>723</v>
      </c>
      <c r="AX30" s="136">
        <v>448</v>
      </c>
      <c r="AY30" s="136">
        <v>-1699</v>
      </c>
      <c r="AZ30" s="136">
        <v>-1359</v>
      </c>
      <c r="BA30" s="367">
        <v>-243</v>
      </c>
    </row>
    <row r="31" spans="1:53" s="426" customFormat="1" ht="12" customHeight="1">
      <c r="A31" s="500" t="s">
        <v>306</v>
      </c>
      <c r="B31" s="434"/>
      <c r="C31" s="177">
        <v>-401</v>
      </c>
      <c r="D31" s="431"/>
      <c r="E31" s="177">
        <v>-342</v>
      </c>
      <c r="F31" s="432"/>
      <c r="G31" s="177">
        <v>-382</v>
      </c>
      <c r="H31" s="433">
        <v>-409</v>
      </c>
      <c r="I31" s="433">
        <v>-323</v>
      </c>
      <c r="J31" s="427">
        <v>-243</v>
      </c>
      <c r="K31" s="432"/>
      <c r="L31" s="177">
        <v>-407</v>
      </c>
      <c r="M31" s="174">
        <v>-386</v>
      </c>
      <c r="N31" s="174">
        <v>-364</v>
      </c>
      <c r="O31" s="174">
        <v>-348</v>
      </c>
      <c r="P31" s="314"/>
      <c r="Q31" s="177">
        <v>-495</v>
      </c>
      <c r="R31" s="174">
        <v>-537</v>
      </c>
      <c r="S31" s="174">
        <v>-499</v>
      </c>
      <c r="T31" s="174">
        <v>-593</v>
      </c>
      <c r="V31" s="177">
        <v>-645</v>
      </c>
      <c r="W31" s="177">
        <v>-713</v>
      </c>
      <c r="X31" s="177">
        <v>-616</v>
      </c>
      <c r="Y31" s="177">
        <v>-622</v>
      </c>
      <c r="AA31" s="177">
        <v>-772</v>
      </c>
      <c r="AB31" s="177">
        <v>-855</v>
      </c>
      <c r="AC31" s="177">
        <v>-887</v>
      </c>
      <c r="AD31" s="177">
        <v>-872</v>
      </c>
      <c r="AE31" s="314"/>
      <c r="AF31" s="177">
        <v>-903</v>
      </c>
      <c r="AG31" s="136">
        <v>-819</v>
      </c>
      <c r="AH31" s="136">
        <v>-717</v>
      </c>
      <c r="AI31" s="136">
        <v>-329</v>
      </c>
      <c r="AJ31" s="136">
        <v>-440</v>
      </c>
      <c r="AK31" s="136">
        <v>-428</v>
      </c>
      <c r="AL31" s="136">
        <v>-602</v>
      </c>
      <c r="AM31" s="136">
        <v>-702</v>
      </c>
      <c r="AN31" s="136">
        <v>-749</v>
      </c>
      <c r="AO31" s="136">
        <v>-771</v>
      </c>
      <c r="AP31" s="136">
        <v>-821</v>
      </c>
      <c r="AQ31" s="136">
        <v>-921</v>
      </c>
      <c r="AR31" s="136">
        <v>-853</v>
      </c>
      <c r="AS31" s="136">
        <v>-752</v>
      </c>
      <c r="AT31" s="136">
        <v>-786</v>
      </c>
      <c r="AU31" s="136">
        <v>-636</v>
      </c>
      <c r="AV31" s="136">
        <v>-693</v>
      </c>
      <c r="AW31" s="136">
        <v>-720</v>
      </c>
      <c r="AX31" s="136">
        <v>-627</v>
      </c>
      <c r="AY31" s="136">
        <v>-640</v>
      </c>
      <c r="AZ31" s="136">
        <v>-566</v>
      </c>
      <c r="BA31" s="367">
        <v>-694</v>
      </c>
    </row>
    <row r="32" spans="1:53" s="426" customFormat="1" ht="12" customHeight="1">
      <c r="A32" s="500" t="s">
        <v>249</v>
      </c>
      <c r="B32" s="434"/>
      <c r="C32" s="177">
        <v>22312</v>
      </c>
      <c r="D32" s="431"/>
      <c r="E32" s="177">
        <v>18724</v>
      </c>
      <c r="F32" s="432"/>
      <c r="G32" s="177">
        <v>19094</v>
      </c>
      <c r="H32" s="433">
        <v>19092</v>
      </c>
      <c r="I32" s="433">
        <v>19706</v>
      </c>
      <c r="J32" s="427">
        <v>14339</v>
      </c>
      <c r="K32" s="432"/>
      <c r="L32" s="177">
        <v>15144</v>
      </c>
      <c r="M32" s="174">
        <v>15449</v>
      </c>
      <c r="N32" s="174">
        <v>15989</v>
      </c>
      <c r="O32" s="174">
        <v>15462</v>
      </c>
      <c r="P32" s="314"/>
      <c r="Q32" s="177">
        <v>16363</v>
      </c>
      <c r="R32" s="174">
        <v>16820</v>
      </c>
      <c r="S32" s="174">
        <v>17263</v>
      </c>
      <c r="T32" s="174">
        <v>17945</v>
      </c>
      <c r="V32" s="177">
        <v>18640</v>
      </c>
      <c r="W32" s="177">
        <v>19172</v>
      </c>
      <c r="X32" s="177">
        <v>19608</v>
      </c>
      <c r="Y32" s="177">
        <v>19209</v>
      </c>
      <c r="AA32" s="177">
        <v>19608</v>
      </c>
      <c r="AB32" s="177">
        <v>19956</v>
      </c>
      <c r="AC32" s="177">
        <v>20365</v>
      </c>
      <c r="AD32" s="177">
        <v>20988</v>
      </c>
      <c r="AE32" s="314"/>
      <c r="AF32" s="177">
        <v>21945</v>
      </c>
      <c r="AG32" s="136">
        <v>24896</v>
      </c>
      <c r="AH32" s="136">
        <v>25522</v>
      </c>
      <c r="AI32" s="136">
        <v>25839</v>
      </c>
      <c r="AJ32" s="136">
        <v>27164</v>
      </c>
      <c r="AK32" s="136">
        <v>28047</v>
      </c>
      <c r="AL32" s="136">
        <v>28777</v>
      </c>
      <c r="AM32" s="136">
        <v>28772</v>
      </c>
      <c r="AN32" s="136">
        <v>29254</v>
      </c>
      <c r="AO32" s="136">
        <v>29779</v>
      </c>
      <c r="AP32" s="136">
        <v>30309</v>
      </c>
      <c r="AQ32" s="136">
        <v>27419</v>
      </c>
      <c r="AR32" s="136">
        <v>27806</v>
      </c>
      <c r="AS32" s="136">
        <v>28450</v>
      </c>
      <c r="AT32" s="136">
        <v>28323</v>
      </c>
      <c r="AU32" s="136">
        <v>29907</v>
      </c>
      <c r="AV32" s="136">
        <v>30034</v>
      </c>
      <c r="AW32" s="136">
        <v>30020</v>
      </c>
      <c r="AX32" s="136">
        <v>30366</v>
      </c>
      <c r="AY32" s="136">
        <v>31853</v>
      </c>
      <c r="AZ32" s="136">
        <v>34821</v>
      </c>
      <c r="BA32" s="367">
        <v>37046</v>
      </c>
    </row>
    <row r="33" spans="1:53" s="426" customFormat="1" ht="12" customHeight="1">
      <c r="A33" s="487" t="s">
        <v>252</v>
      </c>
      <c r="B33" s="372"/>
      <c r="C33" s="175">
        <f>+C29+C30+C31+C32</f>
        <v>24277</v>
      </c>
      <c r="D33" s="435"/>
      <c r="E33" s="175">
        <f>+E29+E30+E31+E32</f>
        <v>20279</v>
      </c>
      <c r="F33" s="436"/>
      <c r="G33" s="175">
        <f>+G29+G30+G31+G32</f>
        <v>20721</v>
      </c>
      <c r="H33" s="437">
        <f>+H29+H30+H31+H32</f>
        <v>20600</v>
      </c>
      <c r="I33" s="437">
        <f>+I29+I30+I31+I32</f>
        <v>21295</v>
      </c>
      <c r="J33" s="438">
        <f>+J29+J30+J31+J32</f>
        <v>15900</v>
      </c>
      <c r="K33" s="436"/>
      <c r="L33" s="175">
        <f t="shared" ref="L33:R33" si="11">+L29+L30+L31+L32</f>
        <v>16745</v>
      </c>
      <c r="M33" s="173">
        <f t="shared" si="11"/>
        <v>17150</v>
      </c>
      <c r="N33" s="173">
        <f t="shared" si="11"/>
        <v>17769</v>
      </c>
      <c r="O33" s="173">
        <f t="shared" si="11"/>
        <v>17256</v>
      </c>
      <c r="P33" s="14"/>
      <c r="Q33" s="175">
        <f t="shared" si="11"/>
        <v>17429</v>
      </c>
      <c r="R33" s="173">
        <f t="shared" si="11"/>
        <v>17765</v>
      </c>
      <c r="S33" s="173">
        <f>+S29+S30+S31+S32</f>
        <v>18345</v>
      </c>
      <c r="T33" s="173">
        <f>+T29+T30+T31+T32</f>
        <v>19045</v>
      </c>
      <c r="V33" s="175">
        <f>+V29+V30+V31+V32</f>
        <v>19443</v>
      </c>
      <c r="W33" s="175">
        <f>+W29+W30+W31+W32</f>
        <v>20022</v>
      </c>
      <c r="X33" s="175">
        <f>X29+X30+X31+X32</f>
        <v>20262</v>
      </c>
      <c r="Y33" s="175">
        <v>19889</v>
      </c>
      <c r="AA33" s="175">
        <v>20088</v>
      </c>
      <c r="AB33" s="175">
        <v>20241</v>
      </c>
      <c r="AC33" s="175">
        <f>+AC29+AC30+AC31+AC32</f>
        <v>20735</v>
      </c>
      <c r="AD33" s="175">
        <f>AD29+AD30+AD31+AD32</f>
        <v>20726</v>
      </c>
      <c r="AE33" s="14"/>
      <c r="AF33" s="175">
        <f>AF29+AF30+AF31+AF32</f>
        <v>20891</v>
      </c>
      <c r="AG33" s="137">
        <f>+AG29+AG30+AG31+AG32</f>
        <v>24036</v>
      </c>
      <c r="AH33" s="137">
        <f t="shared" ref="AH33:AM33" si="12">AH29+AH30+AH31+AH32</f>
        <v>25393</v>
      </c>
      <c r="AI33" s="137">
        <f t="shared" si="12"/>
        <v>25840</v>
      </c>
      <c r="AJ33" s="137">
        <f t="shared" si="12"/>
        <v>26803</v>
      </c>
      <c r="AK33" s="137">
        <f t="shared" si="12"/>
        <v>28976</v>
      </c>
      <c r="AL33" s="137">
        <f t="shared" si="12"/>
        <v>29126</v>
      </c>
      <c r="AM33" s="137">
        <f t="shared" si="12"/>
        <v>29675</v>
      </c>
      <c r="AN33" s="137">
        <v>30070</v>
      </c>
      <c r="AO33" s="137">
        <f t="shared" ref="AO33:AU33" si="13">+AO29+AO30+AO31+AO32</f>
        <v>31230</v>
      </c>
      <c r="AP33" s="137">
        <f t="shared" si="13"/>
        <v>31551</v>
      </c>
      <c r="AQ33" s="137">
        <f t="shared" si="13"/>
        <v>28818</v>
      </c>
      <c r="AR33" s="137">
        <f t="shared" si="13"/>
        <v>29044</v>
      </c>
      <c r="AS33" s="137">
        <f t="shared" si="13"/>
        <v>29786</v>
      </c>
      <c r="AT33" s="137">
        <f t="shared" si="13"/>
        <v>29462</v>
      </c>
      <c r="AU33" s="137">
        <f t="shared" si="13"/>
        <v>31154</v>
      </c>
      <c r="AV33" s="137">
        <f>+AV29+AV30+AV31+AV32</f>
        <v>31445</v>
      </c>
      <c r="AW33" s="137">
        <f>+AW29+AW30+AW31+AW32</f>
        <v>32023</v>
      </c>
      <c r="AX33" s="137">
        <v>32187</v>
      </c>
      <c r="AY33" s="137">
        <f>+AY29+AY30+AY31+AY32</f>
        <v>31514</v>
      </c>
      <c r="AZ33" s="137">
        <v>34896</v>
      </c>
      <c r="BA33" s="354">
        <f>+BA29+BA30+BA31+BA32</f>
        <v>38109</v>
      </c>
    </row>
    <row r="34" spans="1:53" s="426" customFormat="1" ht="16.5" customHeight="1">
      <c r="A34" s="536" t="s">
        <v>307</v>
      </c>
      <c r="B34" s="430"/>
      <c r="C34" s="177">
        <v>1052</v>
      </c>
      <c r="D34" s="431"/>
      <c r="E34" s="177">
        <v>4724</v>
      </c>
      <c r="F34" s="432"/>
      <c r="G34" s="177">
        <v>4268</v>
      </c>
      <c r="H34" s="433">
        <v>5678</v>
      </c>
      <c r="I34" s="433">
        <v>6339</v>
      </c>
      <c r="J34" s="427">
        <v>6423</v>
      </c>
      <c r="K34" s="432"/>
      <c r="L34" s="177">
        <v>5480</v>
      </c>
      <c r="M34" s="174">
        <v>5382</v>
      </c>
      <c r="N34" s="174">
        <v>5684</v>
      </c>
      <c r="O34" s="174">
        <v>6085</v>
      </c>
      <c r="P34" s="314"/>
      <c r="Q34" s="177">
        <v>5863</v>
      </c>
      <c r="R34" s="174">
        <v>7343</v>
      </c>
      <c r="S34" s="174">
        <v>7012</v>
      </c>
      <c r="T34" s="174">
        <v>6758</v>
      </c>
      <c r="V34" s="177">
        <v>6637</v>
      </c>
      <c r="W34" s="177">
        <v>7652</v>
      </c>
      <c r="X34" s="177">
        <v>7525</v>
      </c>
      <c r="Y34" s="177">
        <v>7215</v>
      </c>
      <c r="AA34" s="177">
        <v>8845</v>
      </c>
      <c r="AB34" s="177">
        <v>7304</v>
      </c>
      <c r="AC34" s="177">
        <v>6711</v>
      </c>
      <c r="AD34" s="177">
        <v>6525</v>
      </c>
      <c r="AE34" s="314"/>
      <c r="AF34" s="177">
        <v>5695</v>
      </c>
      <c r="AG34" s="136">
        <v>5096</v>
      </c>
      <c r="AH34" s="136">
        <v>5143</v>
      </c>
      <c r="AI34" s="136">
        <v>5180</v>
      </c>
      <c r="AJ34" s="136">
        <v>4559</v>
      </c>
      <c r="AK34" s="136">
        <v>4590</v>
      </c>
      <c r="AL34" s="136">
        <v>5298</v>
      </c>
      <c r="AM34" s="136">
        <v>5000</v>
      </c>
      <c r="AN34" s="136">
        <v>5633</v>
      </c>
      <c r="AO34" s="136">
        <v>4784</v>
      </c>
      <c r="AP34" s="136">
        <v>5074</v>
      </c>
      <c r="AQ34" s="136">
        <v>4508</v>
      </c>
      <c r="AR34" s="136">
        <v>5052</v>
      </c>
      <c r="AS34" s="136">
        <v>4743</v>
      </c>
      <c r="AT34" s="136">
        <v>4687</v>
      </c>
      <c r="AU34" s="136">
        <f>2055+2600</f>
        <v>4655</v>
      </c>
      <c r="AV34" s="136">
        <v>4693</v>
      </c>
      <c r="AW34" s="136">
        <v>5001</v>
      </c>
      <c r="AX34" s="136">
        <v>4986</v>
      </c>
      <c r="AY34" s="136">
        <v>4774</v>
      </c>
      <c r="AZ34" s="136">
        <v>4194</v>
      </c>
      <c r="BA34" s="367">
        <v>3896</v>
      </c>
    </row>
    <row r="35" spans="1:53" s="426" customFormat="1" ht="12" customHeight="1">
      <c r="A35" s="536" t="s">
        <v>229</v>
      </c>
      <c r="B35" s="430"/>
      <c r="C35" s="177">
        <v>122</v>
      </c>
      <c r="D35" s="445"/>
      <c r="E35" s="177">
        <v>158</v>
      </c>
      <c r="F35" s="432"/>
      <c r="G35" s="177">
        <v>88</v>
      </c>
      <c r="H35" s="433">
        <v>108</v>
      </c>
      <c r="I35" s="433">
        <v>37</v>
      </c>
      <c r="J35" s="427">
        <v>149</v>
      </c>
      <c r="K35" s="432"/>
      <c r="L35" s="177">
        <v>51</v>
      </c>
      <c r="M35" s="174">
        <v>28</v>
      </c>
      <c r="N35" s="174">
        <v>76</v>
      </c>
      <c r="O35" s="174">
        <v>84</v>
      </c>
      <c r="P35" s="314"/>
      <c r="Q35" s="177">
        <v>80</v>
      </c>
      <c r="R35" s="174">
        <v>97</v>
      </c>
      <c r="S35" s="174">
        <v>82</v>
      </c>
      <c r="T35" s="174">
        <v>68</v>
      </c>
      <c r="V35" s="177">
        <v>84</v>
      </c>
      <c r="W35" s="177">
        <v>52</v>
      </c>
      <c r="X35" s="177">
        <v>324</v>
      </c>
      <c r="Y35" s="177">
        <v>131</v>
      </c>
      <c r="AA35" s="177">
        <v>537</v>
      </c>
      <c r="AB35" s="177">
        <v>532</v>
      </c>
      <c r="AC35" s="177">
        <v>789</v>
      </c>
      <c r="AD35" s="177">
        <v>981</v>
      </c>
      <c r="AE35" s="314"/>
      <c r="AF35" s="177">
        <v>1227</v>
      </c>
      <c r="AG35" s="136">
        <v>1155</v>
      </c>
      <c r="AH35" s="136">
        <v>974</v>
      </c>
      <c r="AI35" s="136">
        <v>1133</v>
      </c>
      <c r="AJ35" s="136">
        <v>1163</v>
      </c>
      <c r="AK35" s="136">
        <v>1078</v>
      </c>
      <c r="AL35" s="136">
        <v>1543</v>
      </c>
      <c r="AM35" s="136">
        <v>719</v>
      </c>
      <c r="AN35" s="136">
        <v>540</v>
      </c>
      <c r="AO35" s="136">
        <v>453</v>
      </c>
      <c r="AP35" s="136">
        <v>384</v>
      </c>
      <c r="AQ35" s="136">
        <v>202</v>
      </c>
      <c r="AR35" s="136">
        <v>173</v>
      </c>
      <c r="AS35" s="136">
        <v>228</v>
      </c>
      <c r="AT35" s="136">
        <v>182</v>
      </c>
      <c r="AU35" s="136">
        <v>269</v>
      </c>
      <c r="AV35" s="136">
        <v>161</v>
      </c>
      <c r="AW35" s="136">
        <v>142</v>
      </c>
      <c r="AX35" s="136">
        <v>390</v>
      </c>
      <c r="AY35" s="136">
        <v>1626</v>
      </c>
      <c r="AZ35" s="136">
        <v>1959</v>
      </c>
      <c r="BA35" s="367">
        <v>1225</v>
      </c>
    </row>
    <row r="36" spans="1:53" s="426" customFormat="1" ht="12" customHeight="1">
      <c r="A36" s="536" t="s">
        <v>254</v>
      </c>
      <c r="B36" s="430"/>
      <c r="C36" s="177">
        <v>1842</v>
      </c>
      <c r="D36" s="431"/>
      <c r="E36" s="177">
        <v>1803</v>
      </c>
      <c r="F36" s="432"/>
      <c r="G36" s="177">
        <v>1840</v>
      </c>
      <c r="H36" s="433">
        <v>1879</v>
      </c>
      <c r="I36" s="433">
        <v>1818</v>
      </c>
      <c r="J36" s="427">
        <v>1683</v>
      </c>
      <c r="K36" s="432"/>
      <c r="L36" s="177">
        <v>1877</v>
      </c>
      <c r="M36" s="174">
        <v>1884</v>
      </c>
      <c r="N36" s="174">
        <v>1877</v>
      </c>
      <c r="O36" s="174">
        <v>1879</v>
      </c>
      <c r="P36" s="314"/>
      <c r="Q36" s="177">
        <v>2049</v>
      </c>
      <c r="R36" s="174">
        <v>2139</v>
      </c>
      <c r="S36" s="174">
        <v>2125</v>
      </c>
      <c r="T36" s="174">
        <v>2235</v>
      </c>
      <c r="V36" s="177">
        <v>2311</v>
      </c>
      <c r="W36" s="177">
        <v>2425</v>
      </c>
      <c r="X36" s="177">
        <v>2347</v>
      </c>
      <c r="Y36" s="177">
        <v>2363</v>
      </c>
      <c r="AA36" s="177">
        <v>2532</v>
      </c>
      <c r="AB36" s="177">
        <v>2626</v>
      </c>
      <c r="AC36" s="177">
        <v>2732</v>
      </c>
      <c r="AD36" s="177">
        <v>2724</v>
      </c>
      <c r="AE36" s="314"/>
      <c r="AF36" s="177">
        <v>2756</v>
      </c>
      <c r="AG36" s="136">
        <v>2649</v>
      </c>
      <c r="AH36" s="136">
        <v>2583</v>
      </c>
      <c r="AI36" s="136">
        <v>2040</v>
      </c>
      <c r="AJ36" s="136">
        <v>2104</v>
      </c>
      <c r="AK36" s="136">
        <v>2062</v>
      </c>
      <c r="AL36" s="136">
        <v>2323</v>
      </c>
      <c r="AM36" s="136">
        <v>2394</v>
      </c>
      <c r="AN36" s="136">
        <v>2453</v>
      </c>
      <c r="AO36" s="136">
        <v>2532</v>
      </c>
      <c r="AP36" s="136">
        <v>2645</v>
      </c>
      <c r="AQ36" s="136">
        <v>2821</v>
      </c>
      <c r="AR36" s="136">
        <v>2631</v>
      </c>
      <c r="AS36" s="136">
        <v>2517</v>
      </c>
      <c r="AT36" s="136">
        <v>2638</v>
      </c>
      <c r="AU36" s="136">
        <v>2467</v>
      </c>
      <c r="AV36" s="136">
        <v>2526</v>
      </c>
      <c r="AW36" s="136">
        <v>2605</v>
      </c>
      <c r="AX36" s="136">
        <v>2522</v>
      </c>
      <c r="AY36" s="136">
        <v>2571</v>
      </c>
      <c r="AZ36" s="136">
        <v>2422</v>
      </c>
      <c r="BA36" s="367">
        <v>2677</v>
      </c>
    </row>
    <row r="37" spans="1:53" s="426" customFormat="1" ht="24" customHeight="1">
      <c r="A37" s="536" t="s">
        <v>255</v>
      </c>
      <c r="B37" s="430"/>
      <c r="C37" s="177">
        <v>992</v>
      </c>
      <c r="D37" s="431"/>
      <c r="E37" s="177">
        <v>873</v>
      </c>
      <c r="F37" s="432"/>
      <c r="G37" s="177">
        <v>951</v>
      </c>
      <c r="H37" s="433">
        <v>917</v>
      </c>
      <c r="I37" s="433">
        <v>889</v>
      </c>
      <c r="J37" s="427">
        <v>761</v>
      </c>
      <c r="K37" s="432"/>
      <c r="L37" s="177">
        <v>845</v>
      </c>
      <c r="M37" s="174">
        <v>855</v>
      </c>
      <c r="N37" s="174">
        <v>792</v>
      </c>
      <c r="O37" s="174">
        <v>797</v>
      </c>
      <c r="P37" s="314"/>
      <c r="Q37" s="177">
        <v>794</v>
      </c>
      <c r="R37" s="174">
        <v>844</v>
      </c>
      <c r="S37" s="174">
        <v>791</v>
      </c>
      <c r="T37" s="174">
        <v>980</v>
      </c>
      <c r="V37" s="177">
        <v>982</v>
      </c>
      <c r="W37" s="177">
        <v>1099</v>
      </c>
      <c r="X37" s="177">
        <v>1270</v>
      </c>
      <c r="Y37" s="177">
        <v>1119</v>
      </c>
      <c r="AA37" s="177">
        <v>1146</v>
      </c>
      <c r="AB37" s="177">
        <v>1150</v>
      </c>
      <c r="AC37" s="177">
        <v>1154</v>
      </c>
      <c r="AD37" s="177">
        <v>1185</v>
      </c>
      <c r="AE37" s="314"/>
      <c r="AF37" s="177">
        <v>1153</v>
      </c>
      <c r="AG37" s="136">
        <v>1168</v>
      </c>
      <c r="AH37" s="136">
        <v>1188</v>
      </c>
      <c r="AI37" s="136">
        <v>811</v>
      </c>
      <c r="AJ37" s="136">
        <v>460</v>
      </c>
      <c r="AK37" s="136">
        <v>888</v>
      </c>
      <c r="AL37" s="136">
        <v>896</v>
      </c>
      <c r="AM37" s="136">
        <v>1233</v>
      </c>
      <c r="AN37" s="136">
        <v>1123</v>
      </c>
      <c r="AO37" s="136">
        <v>1133</v>
      </c>
      <c r="AP37" s="136">
        <v>1132</v>
      </c>
      <c r="AQ37" s="136">
        <v>1389</v>
      </c>
      <c r="AR37" s="136">
        <v>1401</v>
      </c>
      <c r="AS37" s="136">
        <v>1397</v>
      </c>
      <c r="AT37" s="136">
        <v>1482</v>
      </c>
      <c r="AU37" s="136">
        <v>1263</v>
      </c>
      <c r="AV37" s="136">
        <v>1283</v>
      </c>
      <c r="AW37" s="136">
        <v>1328</v>
      </c>
      <c r="AX37" s="136">
        <v>1315</v>
      </c>
      <c r="AY37" s="136">
        <v>1380</v>
      </c>
      <c r="AZ37" s="136">
        <v>1273</v>
      </c>
      <c r="BA37" s="367">
        <v>1372</v>
      </c>
    </row>
    <row r="38" spans="1:53" s="426" customFormat="1" ht="13.5" customHeight="1">
      <c r="A38" s="490" t="s">
        <v>256</v>
      </c>
      <c r="B38" s="430"/>
      <c r="C38" s="177">
        <v>0</v>
      </c>
      <c r="D38" s="431"/>
      <c r="E38" s="177">
        <v>0</v>
      </c>
      <c r="F38" s="432"/>
      <c r="G38" s="177">
        <v>0</v>
      </c>
      <c r="H38" s="433">
        <v>0</v>
      </c>
      <c r="I38" s="433">
        <v>0</v>
      </c>
      <c r="J38" s="427">
        <v>0</v>
      </c>
      <c r="K38" s="432"/>
      <c r="L38" s="177">
        <v>0</v>
      </c>
      <c r="M38" s="174">
        <v>0</v>
      </c>
      <c r="N38" s="174">
        <v>0</v>
      </c>
      <c r="O38" s="174">
        <v>0</v>
      </c>
      <c r="P38" s="314"/>
      <c r="Q38" s="177">
        <v>0</v>
      </c>
      <c r="R38" s="174">
        <v>0</v>
      </c>
      <c r="S38" s="174">
        <v>0</v>
      </c>
      <c r="T38" s="174">
        <v>0</v>
      </c>
      <c r="V38" s="177">
        <v>0</v>
      </c>
      <c r="W38" s="177">
        <v>11</v>
      </c>
      <c r="X38" s="177">
        <v>0</v>
      </c>
      <c r="Y38" s="177">
        <v>60</v>
      </c>
      <c r="AA38" s="177">
        <v>0</v>
      </c>
      <c r="AB38" s="177">
        <v>27</v>
      </c>
      <c r="AC38" s="177">
        <v>141</v>
      </c>
      <c r="AD38" s="177">
        <v>81</v>
      </c>
      <c r="AE38" s="314"/>
      <c r="AF38" s="177">
        <v>0</v>
      </c>
      <c r="AG38" s="136">
        <v>7</v>
      </c>
      <c r="AH38" s="136">
        <v>187</v>
      </c>
      <c r="AI38" s="136">
        <v>290</v>
      </c>
      <c r="AJ38" s="136">
        <v>195</v>
      </c>
      <c r="AK38" s="136">
        <v>544</v>
      </c>
      <c r="AL38" s="136">
        <v>471</v>
      </c>
      <c r="AM38" s="136">
        <v>705</v>
      </c>
      <c r="AN38" s="136">
        <v>703</v>
      </c>
      <c r="AO38" s="136">
        <v>856</v>
      </c>
      <c r="AP38" s="136">
        <v>912</v>
      </c>
      <c r="AQ38" s="136">
        <v>328</v>
      </c>
      <c r="AR38" s="136">
        <v>275</v>
      </c>
      <c r="AS38" s="136">
        <v>390</v>
      </c>
      <c r="AT38" s="136">
        <v>363</v>
      </c>
      <c r="AU38" s="136">
        <v>460</v>
      </c>
      <c r="AV38" s="136">
        <v>445</v>
      </c>
      <c r="AW38" s="136">
        <v>746</v>
      </c>
      <c r="AX38" s="136">
        <v>709</v>
      </c>
      <c r="AY38" s="136">
        <v>326</v>
      </c>
      <c r="AZ38" s="136">
        <v>361</v>
      </c>
      <c r="BA38" s="367">
        <v>866</v>
      </c>
    </row>
    <row r="39" spans="1:53" s="426" customFormat="1" ht="12" customHeight="1">
      <c r="A39" s="536" t="s">
        <v>257</v>
      </c>
      <c r="B39" s="430"/>
      <c r="C39" s="177">
        <v>187</v>
      </c>
      <c r="D39" s="431"/>
      <c r="E39" s="177">
        <v>198</v>
      </c>
      <c r="F39" s="432"/>
      <c r="G39" s="177">
        <v>192</v>
      </c>
      <c r="H39" s="433">
        <v>191</v>
      </c>
      <c r="I39" s="433">
        <v>208</v>
      </c>
      <c r="J39" s="427">
        <v>229</v>
      </c>
      <c r="K39" s="432"/>
      <c r="L39" s="177">
        <v>219</v>
      </c>
      <c r="M39" s="174">
        <v>209</v>
      </c>
      <c r="N39" s="174">
        <v>209</v>
      </c>
      <c r="O39" s="174">
        <v>207</v>
      </c>
      <c r="P39" s="314"/>
      <c r="Q39" s="177">
        <v>211</v>
      </c>
      <c r="R39" s="174">
        <v>196</v>
      </c>
      <c r="S39" s="174">
        <v>202</v>
      </c>
      <c r="T39" s="174">
        <v>199</v>
      </c>
      <c r="V39" s="177">
        <v>193</v>
      </c>
      <c r="W39" s="177">
        <f>190</f>
        <v>190</v>
      </c>
      <c r="X39" s="177">
        <v>191</v>
      </c>
      <c r="Y39" s="177">
        <v>217</v>
      </c>
      <c r="AA39" s="177">
        <v>195</v>
      </c>
      <c r="AB39" s="177">
        <v>221</v>
      </c>
      <c r="AC39" s="177">
        <v>212</v>
      </c>
      <c r="AD39" s="177">
        <v>191</v>
      </c>
      <c r="AE39" s="314"/>
      <c r="AF39" s="177">
        <v>180</v>
      </c>
      <c r="AG39" s="136">
        <v>231</v>
      </c>
      <c r="AH39" s="136">
        <v>235</v>
      </c>
      <c r="AI39" s="136">
        <v>253</v>
      </c>
      <c r="AJ39" s="136">
        <v>259</v>
      </c>
      <c r="AK39" s="136">
        <v>250</v>
      </c>
      <c r="AL39" s="136">
        <v>303</v>
      </c>
      <c r="AM39" s="136">
        <v>260</v>
      </c>
      <c r="AN39" s="136">
        <v>243</v>
      </c>
      <c r="AO39" s="136">
        <v>232</v>
      </c>
      <c r="AP39" s="136">
        <v>236</v>
      </c>
      <c r="AQ39" s="136">
        <v>220</v>
      </c>
      <c r="AR39" s="136">
        <v>213</v>
      </c>
      <c r="AS39" s="136">
        <v>212</v>
      </c>
      <c r="AT39" s="136">
        <v>254</v>
      </c>
      <c r="AU39" s="136">
        <v>295</v>
      </c>
      <c r="AV39" s="136">
        <v>260</v>
      </c>
      <c r="AW39" s="136">
        <v>254</v>
      </c>
      <c r="AX39" s="136">
        <v>253</v>
      </c>
      <c r="AY39" s="136">
        <v>274</v>
      </c>
      <c r="AZ39" s="136">
        <v>272</v>
      </c>
      <c r="BA39" s="367">
        <v>264</v>
      </c>
    </row>
    <row r="40" spans="1:53" s="426" customFormat="1" ht="12" customHeight="1">
      <c r="A40" s="500" t="s">
        <v>258</v>
      </c>
      <c r="B40" s="434"/>
      <c r="C40" s="177">
        <f>+C34+C35+C36+C37+C39</f>
        <v>4195</v>
      </c>
      <c r="D40" s="431"/>
      <c r="E40" s="177">
        <f>+E34+E35+E36+E37+E39</f>
        <v>7756</v>
      </c>
      <c r="F40" s="432"/>
      <c r="G40" s="177">
        <f>+G34+G35+G36+G37+G39</f>
        <v>7339</v>
      </c>
      <c r="H40" s="433">
        <f>+H34+H35+H36+H37+H39</f>
        <v>8773</v>
      </c>
      <c r="I40" s="433">
        <f>+I34+I35+I36+I37+I39</f>
        <v>9291</v>
      </c>
      <c r="J40" s="427">
        <f>+J34+J35+J36+J37+J39</f>
        <v>9245</v>
      </c>
      <c r="K40" s="432"/>
      <c r="L40" s="177">
        <f>+L34+L35+L36+L37+L39</f>
        <v>8472</v>
      </c>
      <c r="M40" s="174">
        <f>+M34+M35+M36+M37+M39</f>
        <v>8358</v>
      </c>
      <c r="N40" s="174">
        <v>8638</v>
      </c>
      <c r="O40" s="174">
        <f>SUM(O34:O39)</f>
        <v>9052</v>
      </c>
      <c r="P40" s="314"/>
      <c r="Q40" s="177">
        <f>+Q34+Q35+Q36+Q37+Q39</f>
        <v>8997</v>
      </c>
      <c r="R40" s="174">
        <f>+R34+R35+R36+R37+R39</f>
        <v>10619</v>
      </c>
      <c r="S40" s="174">
        <f>+S34+S35+S36+S37+S39</f>
        <v>10212</v>
      </c>
      <c r="T40" s="174">
        <f>+T34+T35+T36+T37+T39</f>
        <v>10240</v>
      </c>
      <c r="V40" s="177">
        <f>+V34+V35+V36+V37+V39</f>
        <v>10207</v>
      </c>
      <c r="W40" s="177">
        <f>+W34+W35+W36+W37+W39+W38</f>
        <v>11429</v>
      </c>
      <c r="X40" s="177">
        <f>X34+X35+X36+X37+X38+X39</f>
        <v>11657</v>
      </c>
      <c r="Y40" s="177">
        <v>11105</v>
      </c>
      <c r="AA40" s="177">
        <v>13255</v>
      </c>
      <c r="AB40" s="177">
        <v>11860</v>
      </c>
      <c r="AC40" s="177">
        <f>+AC34+AC35+AC36+AC37+AC38+AC39</f>
        <v>11739</v>
      </c>
      <c r="AD40" s="177">
        <f>AD34+AD35+AD36+AD37+AD38+AD39</f>
        <v>11687</v>
      </c>
      <c r="AE40" s="314"/>
      <c r="AF40" s="177">
        <f>AF34+AF35+AF36+AF37+AF38+AF39</f>
        <v>11011</v>
      </c>
      <c r="AG40" s="136">
        <f>+AG34+AG35+AG36+AG37+AG38+AG39</f>
        <v>10306</v>
      </c>
      <c r="AH40" s="136">
        <f>AH34+AH35+AH36+AH37+AH38+AH39</f>
        <v>10310</v>
      </c>
      <c r="AI40" s="136">
        <v>9707</v>
      </c>
      <c r="AJ40" s="136">
        <f>+AJ34+AJ35+AJ36+AJ37+AJ38+AJ39</f>
        <v>8740</v>
      </c>
      <c r="AK40" s="136">
        <f>+AK34+AK35+AK36+AK37+AK38+AK39</f>
        <v>9412</v>
      </c>
      <c r="AL40" s="136">
        <f>+AL34+AL35+AL36+AL37+AL38+AL39</f>
        <v>10834</v>
      </c>
      <c r="AM40" s="136">
        <f>+AM34+AM35+AM36+AM37+AM38+AM39</f>
        <v>10311</v>
      </c>
      <c r="AN40" s="136">
        <v>10695</v>
      </c>
      <c r="AO40" s="136">
        <f t="shared" ref="AO40:AU40" si="14">+AO34+AO35+AO36+AO37+AO38+AO39</f>
        <v>9990</v>
      </c>
      <c r="AP40" s="136">
        <f t="shared" si="14"/>
        <v>10383</v>
      </c>
      <c r="AQ40" s="136">
        <f t="shared" si="14"/>
        <v>9468</v>
      </c>
      <c r="AR40" s="136">
        <f t="shared" si="14"/>
        <v>9745</v>
      </c>
      <c r="AS40" s="136">
        <f t="shared" si="14"/>
        <v>9487</v>
      </c>
      <c r="AT40" s="136">
        <f t="shared" si="14"/>
        <v>9606</v>
      </c>
      <c r="AU40" s="136">
        <f t="shared" si="14"/>
        <v>9409</v>
      </c>
      <c r="AV40" s="136">
        <f>+AV34+AV35+AV36+AV37+AV38+AV39</f>
        <v>9368</v>
      </c>
      <c r="AW40" s="136">
        <v>10076</v>
      </c>
      <c r="AX40" s="136">
        <v>10175</v>
      </c>
      <c r="AY40" s="136">
        <f>+AY34+AY35+AY36+AY37+AY38+AY39</f>
        <v>10951</v>
      </c>
      <c r="AZ40" s="136">
        <v>10481</v>
      </c>
      <c r="BA40" s="367">
        <f>+BA34+BA35+BA36+BA37+BA38+BA39</f>
        <v>10300</v>
      </c>
    </row>
    <row r="41" spans="1:53" s="426" customFormat="1" ht="18.75" customHeight="1">
      <c r="A41" s="536" t="s">
        <v>259</v>
      </c>
      <c r="B41" s="430"/>
      <c r="C41" s="177">
        <v>1056</v>
      </c>
      <c r="D41" s="431"/>
      <c r="E41" s="177">
        <v>2098</v>
      </c>
      <c r="F41" s="432"/>
      <c r="G41" s="177">
        <v>2962</v>
      </c>
      <c r="H41" s="433">
        <v>2250</v>
      </c>
      <c r="I41" s="433">
        <v>1419</v>
      </c>
      <c r="J41" s="427">
        <v>1509</v>
      </c>
      <c r="K41" s="432"/>
      <c r="L41" s="177">
        <v>2041</v>
      </c>
      <c r="M41" s="174">
        <v>1601</v>
      </c>
      <c r="N41" s="174">
        <v>1398</v>
      </c>
      <c r="O41" s="174">
        <v>923</v>
      </c>
      <c r="P41" s="314"/>
      <c r="Q41" s="177">
        <v>1627</v>
      </c>
      <c r="R41" s="174">
        <v>1112</v>
      </c>
      <c r="S41" s="174">
        <v>1053</v>
      </c>
      <c r="T41" s="174">
        <v>1035</v>
      </c>
      <c r="V41" s="177">
        <v>1740</v>
      </c>
      <c r="W41" s="177">
        <v>996</v>
      </c>
      <c r="X41" s="177">
        <v>1290</v>
      </c>
      <c r="Y41" s="177">
        <v>275</v>
      </c>
      <c r="AA41" s="177">
        <v>311</v>
      </c>
      <c r="AB41" s="177">
        <v>1104</v>
      </c>
      <c r="AC41" s="177">
        <v>317</v>
      </c>
      <c r="AD41" s="177">
        <v>306</v>
      </c>
      <c r="AE41" s="314"/>
      <c r="AF41" s="177">
        <v>334</v>
      </c>
      <c r="AG41" s="136">
        <v>322</v>
      </c>
      <c r="AH41" s="136">
        <v>359</v>
      </c>
      <c r="AI41" s="136">
        <v>382</v>
      </c>
      <c r="AJ41" s="136">
        <v>1059</v>
      </c>
      <c r="AK41" s="136">
        <v>1122</v>
      </c>
      <c r="AL41" s="136">
        <v>1279</v>
      </c>
      <c r="AM41" s="136">
        <v>1124</v>
      </c>
      <c r="AN41" s="136">
        <v>498</v>
      </c>
      <c r="AO41" s="136">
        <v>844</v>
      </c>
      <c r="AP41" s="136">
        <v>913</v>
      </c>
      <c r="AQ41" s="136">
        <v>833</v>
      </c>
      <c r="AR41" s="136">
        <v>877</v>
      </c>
      <c r="AS41" s="136">
        <v>1090</v>
      </c>
      <c r="AT41" s="136">
        <v>1114</v>
      </c>
      <c r="AU41" s="136">
        <f>1133+2</f>
        <v>1135</v>
      </c>
      <c r="AV41" s="136">
        <v>1130</v>
      </c>
      <c r="AW41" s="136">
        <v>495</v>
      </c>
      <c r="AX41" s="136">
        <v>586</v>
      </c>
      <c r="AY41" s="136">
        <v>737</v>
      </c>
      <c r="AZ41" s="136">
        <v>1285</v>
      </c>
      <c r="BA41" s="367">
        <v>1223</v>
      </c>
    </row>
    <row r="42" spans="1:53" s="426" customFormat="1" ht="12" customHeight="1">
      <c r="A42" s="536" t="s">
        <v>308</v>
      </c>
      <c r="B42" s="430"/>
      <c r="C42" s="177">
        <v>0</v>
      </c>
      <c r="D42" s="431"/>
      <c r="E42" s="177">
        <v>0</v>
      </c>
      <c r="F42" s="432"/>
      <c r="G42" s="177">
        <v>0</v>
      </c>
      <c r="H42" s="433">
        <v>0</v>
      </c>
      <c r="I42" s="433">
        <v>0</v>
      </c>
      <c r="J42" s="427">
        <v>0</v>
      </c>
      <c r="K42" s="432"/>
      <c r="L42" s="177">
        <v>0</v>
      </c>
      <c r="M42" s="174">
        <v>227</v>
      </c>
      <c r="N42" s="174">
        <v>160</v>
      </c>
      <c r="O42" s="174">
        <v>160</v>
      </c>
      <c r="P42" s="314"/>
      <c r="Q42" s="177">
        <v>220</v>
      </c>
      <c r="R42" s="174">
        <v>120</v>
      </c>
      <c r="S42" s="174">
        <v>110</v>
      </c>
      <c r="T42" s="174">
        <v>80</v>
      </c>
      <c r="V42" s="177">
        <v>135</v>
      </c>
      <c r="W42" s="177">
        <v>50</v>
      </c>
      <c r="X42" s="177">
        <v>80</v>
      </c>
      <c r="Y42" s="177">
        <v>130</v>
      </c>
      <c r="AA42" s="177">
        <v>80</v>
      </c>
      <c r="AB42" s="177">
        <v>180</v>
      </c>
      <c r="AC42" s="177">
        <v>230</v>
      </c>
      <c r="AD42" s="177">
        <v>284</v>
      </c>
      <c r="AE42" s="314"/>
      <c r="AF42" s="177">
        <v>220</v>
      </c>
      <c r="AG42" s="136">
        <v>372</v>
      </c>
      <c r="AH42" s="136">
        <v>409</v>
      </c>
      <c r="AI42" s="136">
        <v>360</v>
      </c>
      <c r="AJ42" s="136">
        <v>340</v>
      </c>
      <c r="AK42" s="136">
        <v>267</v>
      </c>
      <c r="AL42" s="136">
        <v>329</v>
      </c>
      <c r="AM42" s="136">
        <v>321</v>
      </c>
      <c r="AN42" s="136">
        <v>401</v>
      </c>
      <c r="AO42" s="136">
        <v>341</v>
      </c>
      <c r="AP42" s="136">
        <v>411</v>
      </c>
      <c r="AQ42" s="136">
        <v>350</v>
      </c>
      <c r="AR42" s="136">
        <v>551</v>
      </c>
      <c r="AS42" s="136">
        <v>551</v>
      </c>
      <c r="AT42" s="136">
        <v>441</v>
      </c>
      <c r="AU42" s="136">
        <v>561</v>
      </c>
      <c r="AV42" s="136">
        <v>671</v>
      </c>
      <c r="AW42" s="136">
        <v>601</v>
      </c>
      <c r="AX42" s="136">
        <v>621</v>
      </c>
      <c r="AY42" s="136">
        <v>611</v>
      </c>
      <c r="AZ42" s="136">
        <v>521</v>
      </c>
      <c r="BA42" s="367">
        <v>430</v>
      </c>
    </row>
    <row r="43" spans="1:53" s="426" customFormat="1" ht="12" customHeight="1">
      <c r="A43" s="536" t="s">
        <v>229</v>
      </c>
      <c r="B43" s="430"/>
      <c r="C43" s="177">
        <v>36</v>
      </c>
      <c r="D43" s="431"/>
      <c r="E43" s="177">
        <v>48</v>
      </c>
      <c r="F43" s="432"/>
      <c r="G43" s="177">
        <v>25</v>
      </c>
      <c r="H43" s="433">
        <v>75</v>
      </c>
      <c r="I43" s="433">
        <v>39</v>
      </c>
      <c r="J43" s="427">
        <v>189</v>
      </c>
      <c r="K43" s="432"/>
      <c r="L43" s="177">
        <v>46</v>
      </c>
      <c r="M43" s="174">
        <v>9</v>
      </c>
      <c r="N43" s="174">
        <v>20</v>
      </c>
      <c r="O43" s="174">
        <v>74</v>
      </c>
      <c r="P43" s="314"/>
      <c r="Q43" s="177">
        <v>36</v>
      </c>
      <c r="R43" s="174">
        <v>16</v>
      </c>
      <c r="S43" s="174">
        <v>11</v>
      </c>
      <c r="T43" s="174">
        <v>13</v>
      </c>
      <c r="V43" s="177">
        <v>19</v>
      </c>
      <c r="W43" s="177">
        <v>14</v>
      </c>
      <c r="X43" s="177">
        <v>29</v>
      </c>
      <c r="Y43" s="177">
        <v>60</v>
      </c>
      <c r="AA43" s="177">
        <v>315</v>
      </c>
      <c r="AB43" s="177">
        <v>179</v>
      </c>
      <c r="AC43" s="177">
        <v>226</v>
      </c>
      <c r="AD43" s="177">
        <v>653</v>
      </c>
      <c r="AE43" s="314"/>
      <c r="AF43" s="177">
        <v>1222</v>
      </c>
      <c r="AG43" s="136">
        <v>1162</v>
      </c>
      <c r="AH43" s="136">
        <v>786</v>
      </c>
      <c r="AI43" s="136">
        <v>888</v>
      </c>
      <c r="AJ43" s="136">
        <v>1147</v>
      </c>
      <c r="AK43" s="136">
        <v>369</v>
      </c>
      <c r="AL43" s="136">
        <v>519</v>
      </c>
      <c r="AM43" s="136">
        <v>434</v>
      </c>
      <c r="AN43" s="136">
        <v>342</v>
      </c>
      <c r="AO43" s="136">
        <v>429</v>
      </c>
      <c r="AP43" s="136">
        <v>296</v>
      </c>
      <c r="AQ43" s="136">
        <v>499</v>
      </c>
      <c r="AR43" s="136">
        <v>419</v>
      </c>
      <c r="AS43" s="136">
        <v>266</v>
      </c>
      <c r="AT43" s="136">
        <v>243</v>
      </c>
      <c r="AU43" s="136">
        <v>44</v>
      </c>
      <c r="AV43" s="136">
        <v>136</v>
      </c>
      <c r="AW43" s="136">
        <v>96</v>
      </c>
      <c r="AX43" s="136">
        <v>280</v>
      </c>
      <c r="AY43" s="136">
        <v>1440</v>
      </c>
      <c r="AZ43" s="136">
        <v>1593</v>
      </c>
      <c r="BA43" s="367">
        <v>1099</v>
      </c>
    </row>
    <row r="44" spans="1:53" s="426" customFormat="1" ht="12" customHeight="1">
      <c r="A44" s="536" t="s">
        <v>260</v>
      </c>
      <c r="B44" s="430"/>
      <c r="C44" s="177">
        <v>1109</v>
      </c>
      <c r="D44" s="431"/>
      <c r="E44" s="177">
        <v>1318</v>
      </c>
      <c r="F44" s="432"/>
      <c r="G44" s="177">
        <v>1192</v>
      </c>
      <c r="H44" s="433">
        <v>1151</v>
      </c>
      <c r="I44" s="433">
        <v>1271</v>
      </c>
      <c r="J44" s="427">
        <v>1372</v>
      </c>
      <c r="K44" s="432"/>
      <c r="L44" s="177">
        <v>1298</v>
      </c>
      <c r="M44" s="174">
        <v>1506</v>
      </c>
      <c r="N44" s="174">
        <v>1446</v>
      </c>
      <c r="O44" s="174">
        <v>1719</v>
      </c>
      <c r="P44" s="314"/>
      <c r="Q44" s="177">
        <v>1321</v>
      </c>
      <c r="R44" s="174">
        <v>1145</v>
      </c>
      <c r="S44" s="174">
        <v>1452</v>
      </c>
      <c r="T44" s="174">
        <v>1920</v>
      </c>
      <c r="V44" s="177">
        <v>1631</v>
      </c>
      <c r="W44" s="177">
        <v>1610</v>
      </c>
      <c r="X44" s="177">
        <v>1439</v>
      </c>
      <c r="Y44" s="177">
        <v>2460</v>
      </c>
      <c r="AA44" s="177">
        <v>2572</v>
      </c>
      <c r="AB44" s="177">
        <v>2640</v>
      </c>
      <c r="AC44" s="177">
        <v>2811</v>
      </c>
      <c r="AD44" s="177">
        <v>3334</v>
      </c>
      <c r="AE44" s="314"/>
      <c r="AF44" s="177">
        <v>3064</v>
      </c>
      <c r="AG44" s="136">
        <v>2775</v>
      </c>
      <c r="AH44" s="136">
        <v>2148</v>
      </c>
      <c r="AI44" s="136">
        <v>2613</v>
      </c>
      <c r="AJ44" s="136">
        <v>2438</v>
      </c>
      <c r="AK44" s="136">
        <v>2732</v>
      </c>
      <c r="AL44" s="136">
        <v>2503</v>
      </c>
      <c r="AM44" s="136">
        <v>2819</v>
      </c>
      <c r="AN44" s="136">
        <v>2486</v>
      </c>
      <c r="AO44" s="136">
        <v>3664</v>
      </c>
      <c r="AP44" s="136">
        <v>4777</v>
      </c>
      <c r="AQ44" s="136">
        <v>6065</v>
      </c>
      <c r="AR44" s="136">
        <v>4791</v>
      </c>
      <c r="AS44" s="136">
        <v>6018</v>
      </c>
      <c r="AT44" s="136">
        <v>5277</v>
      </c>
      <c r="AU44" s="136">
        <v>4825</v>
      </c>
      <c r="AV44" s="136">
        <v>4628</v>
      </c>
      <c r="AW44" s="136">
        <v>4478</v>
      </c>
      <c r="AX44" s="136">
        <v>4507</v>
      </c>
      <c r="AY44" s="136">
        <v>4263</v>
      </c>
      <c r="AZ44" s="136">
        <v>3452</v>
      </c>
      <c r="BA44" s="367">
        <v>2487</v>
      </c>
    </row>
    <row r="45" spans="1:53" s="426" customFormat="1" ht="12" customHeight="1">
      <c r="A45" s="536" t="s">
        <v>254</v>
      </c>
      <c r="B45" s="430"/>
      <c r="C45" s="177">
        <v>584</v>
      </c>
      <c r="D45" s="431"/>
      <c r="E45" s="177">
        <v>577</v>
      </c>
      <c r="F45" s="432"/>
      <c r="G45" s="177">
        <v>640</v>
      </c>
      <c r="H45" s="433">
        <v>769</v>
      </c>
      <c r="I45" s="433">
        <v>588</v>
      </c>
      <c r="J45" s="427">
        <v>628</v>
      </c>
      <c r="K45" s="432"/>
      <c r="L45" s="177">
        <v>736</v>
      </c>
      <c r="M45" s="174">
        <v>560</v>
      </c>
      <c r="N45" s="174">
        <v>655</v>
      </c>
      <c r="O45" s="174">
        <v>649</v>
      </c>
      <c r="P45" s="314"/>
      <c r="Q45" s="177">
        <v>759</v>
      </c>
      <c r="R45" s="174">
        <v>614</v>
      </c>
      <c r="S45" s="174">
        <v>709</v>
      </c>
      <c r="T45" s="174">
        <v>611</v>
      </c>
      <c r="V45" s="177">
        <v>696</v>
      </c>
      <c r="W45" s="177">
        <v>770</v>
      </c>
      <c r="X45" s="177">
        <v>841</v>
      </c>
      <c r="Y45" s="177">
        <v>890</v>
      </c>
      <c r="AA45" s="177">
        <v>956</v>
      </c>
      <c r="AB45" s="177">
        <v>905</v>
      </c>
      <c r="AC45" s="177">
        <v>917</v>
      </c>
      <c r="AD45" s="177">
        <v>1042</v>
      </c>
      <c r="AE45" s="314"/>
      <c r="AF45" s="177">
        <v>1104</v>
      </c>
      <c r="AG45" s="136">
        <v>1111</v>
      </c>
      <c r="AH45" s="136">
        <v>1018</v>
      </c>
      <c r="AI45" s="136">
        <v>1130</v>
      </c>
      <c r="AJ45" s="136">
        <v>1244</v>
      </c>
      <c r="AK45" s="136">
        <v>1329</v>
      </c>
      <c r="AL45" s="136">
        <v>1162</v>
      </c>
      <c r="AM45" s="136">
        <v>1365</v>
      </c>
      <c r="AN45" s="136">
        <v>1481</v>
      </c>
      <c r="AO45" s="136">
        <v>1722</v>
      </c>
      <c r="AP45" s="136">
        <v>1274</v>
      </c>
      <c r="AQ45" s="136">
        <v>1315</v>
      </c>
      <c r="AR45" s="136">
        <v>1403</v>
      </c>
      <c r="AS45" s="136">
        <v>1372</v>
      </c>
      <c r="AT45" s="136">
        <v>1378</v>
      </c>
      <c r="AU45" s="136">
        <v>1569</v>
      </c>
      <c r="AV45" s="136">
        <v>1613</v>
      </c>
      <c r="AW45" s="136">
        <v>1370</v>
      </c>
      <c r="AX45" s="136">
        <v>1414</v>
      </c>
      <c r="AY45" s="136">
        <v>1699</v>
      </c>
      <c r="AZ45" s="136">
        <v>1793</v>
      </c>
      <c r="BA45" s="367">
        <v>1897</v>
      </c>
    </row>
    <row r="46" spans="1:53" s="426" customFormat="1" ht="12" customHeight="1">
      <c r="A46" s="536" t="s">
        <v>261</v>
      </c>
      <c r="B46" s="430"/>
      <c r="C46" s="177">
        <v>522</v>
      </c>
      <c r="D46" s="431"/>
      <c r="E46" s="177">
        <v>450</v>
      </c>
      <c r="F46" s="432"/>
      <c r="G46" s="177">
        <v>341</v>
      </c>
      <c r="H46" s="433">
        <v>542</v>
      </c>
      <c r="I46" s="433">
        <v>418</v>
      </c>
      <c r="J46" s="427">
        <v>636</v>
      </c>
      <c r="K46" s="432"/>
      <c r="L46" s="177">
        <v>452</v>
      </c>
      <c r="M46" s="174">
        <v>473</v>
      </c>
      <c r="N46" s="174">
        <v>331</v>
      </c>
      <c r="O46" s="174">
        <v>416</v>
      </c>
      <c r="P46" s="314"/>
      <c r="Q46" s="177">
        <v>428</v>
      </c>
      <c r="R46" s="174">
        <v>593</v>
      </c>
      <c r="S46" s="174">
        <v>377</v>
      </c>
      <c r="T46" s="174">
        <v>405</v>
      </c>
      <c r="V46" s="177">
        <v>516</v>
      </c>
      <c r="W46" s="177">
        <v>360</v>
      </c>
      <c r="X46" s="177">
        <v>424</v>
      </c>
      <c r="Y46" s="177">
        <v>258</v>
      </c>
      <c r="AA46" s="177">
        <v>279</v>
      </c>
      <c r="AB46" s="177">
        <v>263</v>
      </c>
      <c r="AC46" s="177">
        <v>378</v>
      </c>
      <c r="AD46" s="177">
        <v>369</v>
      </c>
      <c r="AE46" s="314"/>
      <c r="AF46" s="177">
        <v>872</v>
      </c>
      <c r="AG46" s="136">
        <v>971</v>
      </c>
      <c r="AH46" s="136">
        <v>1118</v>
      </c>
      <c r="AI46" s="136">
        <v>1291</v>
      </c>
      <c r="AJ46" s="136">
        <v>1660</v>
      </c>
      <c r="AK46" s="136">
        <v>1072</v>
      </c>
      <c r="AL46" s="136">
        <v>1152</v>
      </c>
      <c r="AM46" s="136">
        <v>1061</v>
      </c>
      <c r="AN46" s="136">
        <v>1209</v>
      </c>
      <c r="AO46" s="136">
        <v>525</v>
      </c>
      <c r="AP46" s="136">
        <v>485</v>
      </c>
      <c r="AQ46" s="136">
        <v>405</v>
      </c>
      <c r="AR46" s="136">
        <v>411</v>
      </c>
      <c r="AS46" s="136">
        <v>880</v>
      </c>
      <c r="AT46" s="136">
        <v>562</v>
      </c>
      <c r="AU46" s="136">
        <v>786</v>
      </c>
      <c r="AV46" s="136">
        <v>696</v>
      </c>
      <c r="AW46" s="136">
        <v>710</v>
      </c>
      <c r="AX46" s="136">
        <v>979</v>
      </c>
      <c r="AY46" s="136">
        <v>1468</v>
      </c>
      <c r="AZ46" s="136">
        <v>2037</v>
      </c>
      <c r="BA46" s="367">
        <v>2975</v>
      </c>
    </row>
    <row r="47" spans="1:53" s="426" customFormat="1" ht="12" customHeight="1">
      <c r="A47" s="536" t="s">
        <v>257</v>
      </c>
      <c r="B47" s="430"/>
      <c r="C47" s="177">
        <v>533</v>
      </c>
      <c r="D47" s="431"/>
      <c r="E47" s="177">
        <v>594</v>
      </c>
      <c r="F47" s="432"/>
      <c r="G47" s="177">
        <v>604</v>
      </c>
      <c r="H47" s="433">
        <v>853</v>
      </c>
      <c r="I47" s="433">
        <v>745</v>
      </c>
      <c r="J47" s="427">
        <v>621</v>
      </c>
      <c r="K47" s="432"/>
      <c r="L47" s="177">
        <v>758</v>
      </c>
      <c r="M47" s="174">
        <v>844</v>
      </c>
      <c r="N47" s="174">
        <v>915</v>
      </c>
      <c r="O47" s="174">
        <v>698</v>
      </c>
      <c r="P47" s="314"/>
      <c r="Q47" s="177">
        <v>663</v>
      </c>
      <c r="R47" s="174">
        <v>755</v>
      </c>
      <c r="S47" s="174">
        <f>201+535</f>
        <v>736</v>
      </c>
      <c r="T47" s="174">
        <v>901</v>
      </c>
      <c r="V47" s="177">
        <v>874</v>
      </c>
      <c r="W47" s="177">
        <f>87+709</f>
        <v>796</v>
      </c>
      <c r="X47" s="177">
        <f>82+684</f>
        <v>766</v>
      </c>
      <c r="Y47" s="177">
        <v>922</v>
      </c>
      <c r="AA47" s="177">
        <v>1041</v>
      </c>
      <c r="AB47" s="177">
        <f>123+790</f>
        <v>913</v>
      </c>
      <c r="AC47" s="177">
        <v>922</v>
      </c>
      <c r="AD47" s="177">
        <f>77+864</f>
        <v>941</v>
      </c>
      <c r="AE47" s="314"/>
      <c r="AF47" s="177">
        <v>1133</v>
      </c>
      <c r="AG47" s="136">
        <f>72+983</f>
        <v>1055</v>
      </c>
      <c r="AH47" s="136">
        <f>76+985</f>
        <v>1061</v>
      </c>
      <c r="AI47" s="136">
        <v>1247</v>
      </c>
      <c r="AJ47" s="136">
        <v>1298</v>
      </c>
      <c r="AK47" s="136">
        <v>1927</v>
      </c>
      <c r="AL47" s="136">
        <v>1387</v>
      </c>
      <c r="AM47" s="136">
        <v>885</v>
      </c>
      <c r="AN47" s="136">
        <v>1008</v>
      </c>
      <c r="AO47" s="136">
        <v>1220</v>
      </c>
      <c r="AP47" s="136">
        <v>977</v>
      </c>
      <c r="AQ47" s="136">
        <v>1143</v>
      </c>
      <c r="AR47" s="136">
        <v>1197</v>
      </c>
      <c r="AS47" s="136">
        <v>1275</v>
      </c>
      <c r="AT47" s="136">
        <v>861</v>
      </c>
      <c r="AU47" s="136">
        <f>227+695</f>
        <v>922</v>
      </c>
      <c r="AV47" s="136">
        <v>1034</v>
      </c>
      <c r="AW47" s="136">
        <v>1240</v>
      </c>
      <c r="AX47" s="136">
        <v>884</v>
      </c>
      <c r="AY47" s="136">
        <v>877</v>
      </c>
      <c r="AZ47" s="136">
        <v>1229</v>
      </c>
      <c r="BA47" s="367">
        <v>1414</v>
      </c>
    </row>
    <row r="48" spans="1:53" s="426" customFormat="1" ht="12" customHeight="1">
      <c r="A48" s="500" t="s">
        <v>263</v>
      </c>
      <c r="B48" s="434"/>
      <c r="C48" s="177">
        <f>+C41+C43+C44+C45+C46+C47</f>
        <v>3840</v>
      </c>
      <c r="D48" s="431"/>
      <c r="E48" s="177">
        <f>+E41+E43+E44+E45+E46+E47</f>
        <v>5085</v>
      </c>
      <c r="F48" s="432"/>
      <c r="G48" s="177">
        <f>+G41+G43+G44+G45+G46+G47</f>
        <v>5764</v>
      </c>
      <c r="H48" s="433">
        <f>+H41+H43+H44+H45+H46+H47</f>
        <v>5640</v>
      </c>
      <c r="I48" s="433">
        <f>+I41+I43+I44+I45+I46+I47</f>
        <v>4480</v>
      </c>
      <c r="J48" s="427">
        <f>+J41+J43+J44+J45+J46+J47</f>
        <v>4955</v>
      </c>
      <c r="K48" s="432"/>
      <c r="L48" s="177">
        <f>+L41+L43+L44+L45+L46+L47</f>
        <v>5331</v>
      </c>
      <c r="M48" s="174">
        <f>+M41+M42+M43+M44+M45+M46+M47</f>
        <v>5220</v>
      </c>
      <c r="N48" s="174">
        <f>+N41+N42+N43+N44+N45+N46+N47</f>
        <v>4925</v>
      </c>
      <c r="O48" s="174">
        <f>+O41+O42+O43+O44+O45+O46+O47</f>
        <v>4639</v>
      </c>
      <c r="P48" s="314"/>
      <c r="Q48" s="177">
        <f>+Q41+Q43+Q44+Q45+Q46+Q47+Q42</f>
        <v>5054</v>
      </c>
      <c r="R48" s="174">
        <f>+R41+R43+R44+R45+R46+R47+R42</f>
        <v>4355</v>
      </c>
      <c r="S48" s="174">
        <f>+S41+S43+S44+S45+S46+S47+S42</f>
        <v>4448</v>
      </c>
      <c r="T48" s="174">
        <f>+T41+T43+T44+T45+T46+T47+T42</f>
        <v>4965</v>
      </c>
      <c r="V48" s="177">
        <f>+V41+V43+V44+V45+V46+V47+V42</f>
        <v>5611</v>
      </c>
      <c r="W48" s="177">
        <f>+W41+W43+W44+W45+W46+W47+W42</f>
        <v>4596</v>
      </c>
      <c r="X48" s="177">
        <f>X41+X42+X43+X44+X45+X46+X47</f>
        <v>4869</v>
      </c>
      <c r="Y48" s="177">
        <v>4995</v>
      </c>
      <c r="AA48" s="177">
        <v>5554</v>
      </c>
      <c r="AB48" s="177">
        <v>6184</v>
      </c>
      <c r="AC48" s="177">
        <f>+AC41+AC42+AC43+AC44+AC45+AC46+AC47</f>
        <v>5801</v>
      </c>
      <c r="AD48" s="177">
        <f>AD41+AD42+AD43+AD44+AD45+AD46+AD47</f>
        <v>6929</v>
      </c>
      <c r="AE48" s="314"/>
      <c r="AF48" s="177">
        <v>8028</v>
      </c>
      <c r="AG48" s="136">
        <f>+AG41+AG42+AG43+AG44+AG45+AG46+AG47</f>
        <v>7768</v>
      </c>
      <c r="AH48" s="136">
        <f t="shared" ref="AH48:AM48" si="15">AH41+AH42+AH43+AH44+AH45+AH46+AH47</f>
        <v>6899</v>
      </c>
      <c r="AI48" s="136">
        <f t="shared" si="15"/>
        <v>7911</v>
      </c>
      <c r="AJ48" s="136">
        <f t="shared" si="15"/>
        <v>9186</v>
      </c>
      <c r="AK48" s="136">
        <f t="shared" si="15"/>
        <v>8818</v>
      </c>
      <c r="AL48" s="136">
        <f t="shared" si="15"/>
        <v>8331</v>
      </c>
      <c r="AM48" s="136">
        <f t="shared" si="15"/>
        <v>8009</v>
      </c>
      <c r="AN48" s="136">
        <v>7425</v>
      </c>
      <c r="AO48" s="136">
        <f>+AO41+AO42+AO43+AO44+AO45+AO46+AO47</f>
        <v>8745</v>
      </c>
      <c r="AP48" s="136">
        <f>+AP41+AP42+AP43+AP44+AP45+AP46+AP47</f>
        <v>9133</v>
      </c>
      <c r="AQ48" s="136">
        <f>+AQ41+AQ42+AQ43+AQ44+AQ45+AQ46+AQ47</f>
        <v>10610</v>
      </c>
      <c r="AR48" s="136">
        <f>+AR41+AR42+AR43+AR44+AR45+AR46+AR47</f>
        <v>9649</v>
      </c>
      <c r="AS48" s="136">
        <v>11452</v>
      </c>
      <c r="AT48" s="136">
        <f>+AT41+AT42+AT43+AT44+AT45+AT46+AT47</f>
        <v>9876</v>
      </c>
      <c r="AU48" s="136">
        <f>+AU41+AU42+AU43+AU44+AU45+AU46+AU47</f>
        <v>9842</v>
      </c>
      <c r="AV48" s="136">
        <f>+AV41+AV42+AV43+AV44+AV45+AV46+AV47</f>
        <v>9908</v>
      </c>
      <c r="AW48" s="136">
        <f>+AW41+AW42+AW43+AW44+AW45+AW46+AW47</f>
        <v>8990</v>
      </c>
      <c r="AX48" s="136">
        <v>9271</v>
      </c>
      <c r="AY48" s="136">
        <f>+AY41+AY42+AY43+AY44+AY45+AY46+AY47</f>
        <v>11095</v>
      </c>
      <c r="AZ48" s="136">
        <v>11910</v>
      </c>
      <c r="BA48" s="367">
        <f>+BA41+BA42+BA43+BA44+BA45+BA46+BA47</f>
        <v>11525</v>
      </c>
    </row>
    <row r="49" spans="1:53" s="426" customFormat="1" ht="12" customHeight="1">
      <c r="A49" s="487" t="s">
        <v>264</v>
      </c>
      <c r="B49" s="372"/>
      <c r="C49" s="175">
        <f>C48+C40</f>
        <v>8035</v>
      </c>
      <c r="D49" s="435"/>
      <c r="E49" s="175">
        <f>E48+E40</f>
        <v>12841</v>
      </c>
      <c r="F49" s="436"/>
      <c r="G49" s="175">
        <f>G48+G40</f>
        <v>13103</v>
      </c>
      <c r="H49" s="437">
        <f>H48+H40</f>
        <v>14413</v>
      </c>
      <c r="I49" s="437">
        <f>I48+I40</f>
        <v>13771</v>
      </c>
      <c r="J49" s="438">
        <f>J48+J40</f>
        <v>14200</v>
      </c>
      <c r="K49" s="436"/>
      <c r="L49" s="175">
        <f t="shared" ref="L49:R49" si="16">L48+L40</f>
        <v>13803</v>
      </c>
      <c r="M49" s="173">
        <f t="shared" si="16"/>
        <v>13578</v>
      </c>
      <c r="N49" s="173">
        <f t="shared" si="16"/>
        <v>13563</v>
      </c>
      <c r="O49" s="173">
        <f t="shared" si="16"/>
        <v>13691</v>
      </c>
      <c r="P49" s="14"/>
      <c r="Q49" s="175">
        <f t="shared" si="16"/>
        <v>14051</v>
      </c>
      <c r="R49" s="173">
        <f t="shared" si="16"/>
        <v>14974</v>
      </c>
      <c r="S49" s="173">
        <f>S48+S40</f>
        <v>14660</v>
      </c>
      <c r="T49" s="173">
        <f>T48+T40</f>
        <v>15205</v>
      </c>
      <c r="V49" s="175">
        <f>V48+V40</f>
        <v>15818</v>
      </c>
      <c r="W49" s="175">
        <f>W48+W40</f>
        <v>16025</v>
      </c>
      <c r="X49" s="175">
        <f>X40+X48</f>
        <v>16526</v>
      </c>
      <c r="Y49" s="175">
        <v>16100</v>
      </c>
      <c r="AA49" s="175">
        <v>18809</v>
      </c>
      <c r="AB49" s="175">
        <v>18044</v>
      </c>
      <c r="AC49" s="175">
        <f>+AC40+AC48</f>
        <v>17540</v>
      </c>
      <c r="AD49" s="175">
        <f>AD40+AD48</f>
        <v>18616</v>
      </c>
      <c r="AE49" s="14"/>
      <c r="AF49" s="175">
        <f>AF40+AF48</f>
        <v>19039</v>
      </c>
      <c r="AG49" s="137">
        <f>+AG40+AG48</f>
        <v>18074</v>
      </c>
      <c r="AH49" s="137">
        <f t="shared" ref="AH49:AM49" si="17">AH40+AH48</f>
        <v>17209</v>
      </c>
      <c r="AI49" s="137">
        <f t="shared" si="17"/>
        <v>17618</v>
      </c>
      <c r="AJ49" s="137">
        <f t="shared" si="17"/>
        <v>17926</v>
      </c>
      <c r="AK49" s="137">
        <f t="shared" si="17"/>
        <v>18230</v>
      </c>
      <c r="AL49" s="137">
        <f t="shared" si="17"/>
        <v>19165</v>
      </c>
      <c r="AM49" s="137">
        <f t="shared" si="17"/>
        <v>18320</v>
      </c>
      <c r="AN49" s="137">
        <v>18120</v>
      </c>
      <c r="AO49" s="137">
        <f t="shared" ref="AO49:AU49" si="18">+AO40+AO48</f>
        <v>18735</v>
      </c>
      <c r="AP49" s="137">
        <f t="shared" si="18"/>
        <v>19516</v>
      </c>
      <c r="AQ49" s="137">
        <f t="shared" si="18"/>
        <v>20078</v>
      </c>
      <c r="AR49" s="137">
        <f t="shared" si="18"/>
        <v>19394</v>
      </c>
      <c r="AS49" s="137">
        <f t="shared" si="18"/>
        <v>20939</v>
      </c>
      <c r="AT49" s="137">
        <f t="shared" si="18"/>
        <v>19482</v>
      </c>
      <c r="AU49" s="137">
        <f t="shared" si="18"/>
        <v>19251</v>
      </c>
      <c r="AV49" s="137">
        <f>+AV40+AV48</f>
        <v>19276</v>
      </c>
      <c r="AW49" s="137">
        <f>+AW40+AW48</f>
        <v>19066</v>
      </c>
      <c r="AX49" s="137">
        <v>19446</v>
      </c>
      <c r="AY49" s="137">
        <f>+AY40+AY48</f>
        <v>22046</v>
      </c>
      <c r="AZ49" s="137">
        <v>22391</v>
      </c>
      <c r="BA49" s="354">
        <f>+BA40+BA48</f>
        <v>21825</v>
      </c>
    </row>
    <row r="50" spans="1:53" s="426" customFormat="1" ht="12" customHeight="1">
      <c r="A50" s="487" t="s">
        <v>265</v>
      </c>
      <c r="B50" s="372"/>
      <c r="C50" s="175">
        <f>C49+C33</f>
        <v>32312</v>
      </c>
      <c r="D50" s="435"/>
      <c r="E50" s="175">
        <f>E49+E33</f>
        <v>33120</v>
      </c>
      <c r="F50" s="436"/>
      <c r="G50" s="175">
        <f>G49+G33</f>
        <v>33824</v>
      </c>
      <c r="H50" s="437">
        <f>H49+H33</f>
        <v>35013</v>
      </c>
      <c r="I50" s="437">
        <f>I49+I33</f>
        <v>35066</v>
      </c>
      <c r="J50" s="438">
        <f>J49+J33</f>
        <v>30100</v>
      </c>
      <c r="K50" s="436"/>
      <c r="L50" s="175">
        <f t="shared" ref="L50:R50" si="19">L49+L33</f>
        <v>30548</v>
      </c>
      <c r="M50" s="173">
        <f t="shared" si="19"/>
        <v>30728</v>
      </c>
      <c r="N50" s="173">
        <f t="shared" si="19"/>
        <v>31332</v>
      </c>
      <c r="O50" s="173">
        <f t="shared" si="19"/>
        <v>30947</v>
      </c>
      <c r="P50" s="14"/>
      <c r="Q50" s="175">
        <f t="shared" si="19"/>
        <v>31480</v>
      </c>
      <c r="R50" s="173">
        <f t="shared" si="19"/>
        <v>32739</v>
      </c>
      <c r="S50" s="173">
        <f>S49+S33</f>
        <v>33005</v>
      </c>
      <c r="T50" s="173">
        <f>T49+T33</f>
        <v>34250</v>
      </c>
      <c r="V50" s="175">
        <f>V49+V33</f>
        <v>35261</v>
      </c>
      <c r="W50" s="175">
        <f>W49+W33</f>
        <v>36047</v>
      </c>
      <c r="X50" s="175">
        <f>X33+X49</f>
        <v>36788</v>
      </c>
      <c r="Y50" s="175">
        <v>35989</v>
      </c>
      <c r="AA50" s="175">
        <v>38897</v>
      </c>
      <c r="AB50" s="175">
        <v>38285</v>
      </c>
      <c r="AC50" s="175">
        <f>+AC33+AC49</f>
        <v>38275</v>
      </c>
      <c r="AD50" s="175">
        <f>AD33+AD49</f>
        <v>39342</v>
      </c>
      <c r="AE50" s="14"/>
      <c r="AF50" s="175">
        <f>AF33+AF49</f>
        <v>39930</v>
      </c>
      <c r="AG50" s="207">
        <f>+AG33+AG49</f>
        <v>42110</v>
      </c>
      <c r="AH50" s="207">
        <f t="shared" ref="AH50:AM50" si="20">AH33+AH49</f>
        <v>42602</v>
      </c>
      <c r="AI50" s="207">
        <f t="shared" si="20"/>
        <v>43458</v>
      </c>
      <c r="AJ50" s="207">
        <f t="shared" si="20"/>
        <v>44729</v>
      </c>
      <c r="AK50" s="207">
        <f t="shared" si="20"/>
        <v>47206</v>
      </c>
      <c r="AL50" s="207">
        <f t="shared" si="20"/>
        <v>48291</v>
      </c>
      <c r="AM50" s="207">
        <f t="shared" si="20"/>
        <v>47995</v>
      </c>
      <c r="AN50" s="207">
        <v>48190</v>
      </c>
      <c r="AO50" s="207">
        <f>+AO49+AO33</f>
        <v>49965</v>
      </c>
      <c r="AP50" s="207">
        <f t="shared" ref="AP50:AU50" si="21">+AP33+AP49</f>
        <v>51067</v>
      </c>
      <c r="AQ50" s="207">
        <f t="shared" si="21"/>
        <v>48896</v>
      </c>
      <c r="AR50" s="207">
        <f t="shared" si="21"/>
        <v>48438</v>
      </c>
      <c r="AS50" s="207">
        <f t="shared" si="21"/>
        <v>50725</v>
      </c>
      <c r="AT50" s="207">
        <f t="shared" si="21"/>
        <v>48944</v>
      </c>
      <c r="AU50" s="207">
        <f t="shared" si="21"/>
        <v>50405</v>
      </c>
      <c r="AV50" s="207">
        <f>+AV33+AV49</f>
        <v>50721</v>
      </c>
      <c r="AW50" s="207">
        <f>+AW33+AW49</f>
        <v>51089</v>
      </c>
      <c r="AX50" s="207">
        <v>51633</v>
      </c>
      <c r="AY50" s="207">
        <f>+AY33+AY49</f>
        <v>53560</v>
      </c>
      <c r="AZ50" s="207">
        <v>57287</v>
      </c>
      <c r="BA50" s="354">
        <f>+BA33+BA49</f>
        <v>59934</v>
      </c>
    </row>
    <row r="51" spans="1:53" ht="12" customHeight="1">
      <c r="A51"/>
      <c r="C51" s="322"/>
      <c r="D51" s="368"/>
      <c r="E51" s="368"/>
      <c r="F51" s="368"/>
      <c r="G51" s="368"/>
      <c r="H51" s="368"/>
      <c r="I51" s="368"/>
      <c r="J51" s="322"/>
      <c r="K51" s="368"/>
    </row>
    <row r="52" spans="1:53" ht="13.5">
      <c r="A52"/>
      <c r="C52" s="322"/>
      <c r="E52" s="322"/>
      <c r="F52" s="322"/>
      <c r="G52" s="322"/>
      <c r="H52" s="322"/>
      <c r="I52" s="322"/>
      <c r="J52" s="322"/>
      <c r="K52" s="322"/>
    </row>
  </sheetData>
  <pageMargins left="0.70866141732283472" right="0.70866141732283472" top="0.74803149606299213" bottom="0.74803149606299213" header="0.31496062992125984" footer="0.31496062992125984"/>
  <pageSetup paperSize="8" scale="47" fitToHeight="0" orientation="landscape" r:id="rId1"/>
  <ignoredErrors>
    <ignoredError sqref="AJ15:AM15 AQ15:AR15" formulaRange="1"/>
    <ignoredError sqref="AH18 AG33 AG40 AG49:AG5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5F170-FB8D-46FE-B086-943572ADF0E5}">
  <sheetPr>
    <pageSetUpPr fitToPage="1"/>
  </sheetPr>
  <dimension ref="A1:BV21"/>
  <sheetViews>
    <sheetView showGridLines="0" zoomScale="160" zoomScaleNormal="160" workbookViewId="0">
      <pane xSplit="1" ySplit="1" topLeftCell="BC2" activePane="bottomRight" state="frozen"/>
      <selection activeCell="Z1" sqref="Z1"/>
      <selection pane="topRight" activeCell="Z1" sqref="Z1"/>
      <selection pane="bottomLeft" activeCell="Z1" sqref="Z1"/>
      <selection pane="bottomRight" activeCell="BQ17" sqref="BQ17"/>
    </sheetView>
  </sheetViews>
  <sheetFormatPr defaultColWidth="9.42578125" defaultRowHeight="12.75" customHeight="1"/>
  <cols>
    <col min="1" max="1" width="40" style="61" customWidth="1"/>
    <col min="2" max="2" width="8" style="61" customWidth="1"/>
    <col min="3" max="3" width="1" style="61" customWidth="1"/>
    <col min="4" max="9" width="8" style="61" customWidth="1"/>
    <col min="10" max="10" width="1" style="61" customWidth="1"/>
    <col min="11" max="16" width="8" style="61" customWidth="1"/>
    <col min="17" max="17" width="1" style="61" customWidth="1"/>
    <col min="18" max="23" width="8" style="61" customWidth="1"/>
    <col min="24" max="24" width="1" style="61" customWidth="1"/>
    <col min="25" max="28" width="8" style="61" customWidth="1"/>
    <col min="29" max="29" width="9.42578125" style="61"/>
    <col min="30" max="30" width="8.42578125" style="61" customWidth="1"/>
    <col min="31" max="31" width="8" style="61" customWidth="1"/>
    <col min="32" max="33" width="8.42578125" style="61" customWidth="1"/>
    <col min="34" max="36" width="8.5703125" style="61" customWidth="1"/>
    <col min="37" max="37" width="8.42578125" style="61" customWidth="1"/>
    <col min="38" max="41" width="9.42578125" style="61"/>
    <col min="42" max="42" width="8" style="61" customWidth="1"/>
    <col min="43" max="47" width="8.42578125" style="61" customWidth="1"/>
    <col min="48" max="48" width="7.140625" style="61" customWidth="1"/>
    <col min="49" max="53" width="8.42578125" style="61" customWidth="1"/>
    <col min="54" max="54" width="7.5703125" style="61" customWidth="1"/>
    <col min="55" max="59" width="8.42578125" style="61" customWidth="1"/>
    <col min="60" max="60" width="7.5703125" style="61" customWidth="1"/>
    <col min="61" max="67" width="8.42578125" style="61" customWidth="1"/>
    <col min="68" max="68" width="7.5703125" style="61" customWidth="1"/>
    <col min="69" max="16384" width="9.42578125" style="61"/>
  </cols>
  <sheetData>
    <row r="1" spans="1:74" s="56" customFormat="1" ht="36.75" customHeight="1">
      <c r="A1" s="537" t="s">
        <v>309</v>
      </c>
      <c r="B1" s="57">
        <v>2015</v>
      </c>
      <c r="C1" s="57"/>
      <c r="D1" s="58" t="s">
        <v>8</v>
      </c>
      <c r="E1" s="58" t="s">
        <v>9</v>
      </c>
      <c r="F1" s="58" t="s">
        <v>10</v>
      </c>
      <c r="G1" s="58" t="s">
        <v>11</v>
      </c>
      <c r="H1" s="58">
        <v>2016</v>
      </c>
      <c r="I1" s="57" t="s">
        <v>326</v>
      </c>
      <c r="J1" s="57"/>
      <c r="K1" s="58" t="s">
        <v>16</v>
      </c>
      <c r="L1" s="58" t="s">
        <v>17</v>
      </c>
      <c r="M1" s="58" t="s">
        <v>20</v>
      </c>
      <c r="N1" s="58" t="s">
        <v>21</v>
      </c>
      <c r="O1" s="58">
        <v>2017</v>
      </c>
      <c r="P1" s="57" t="s">
        <v>327</v>
      </c>
      <c r="Q1" s="57"/>
      <c r="R1" s="58" t="s">
        <v>27</v>
      </c>
      <c r="S1" s="58" t="s">
        <v>29</v>
      </c>
      <c r="T1" s="58" t="s">
        <v>30</v>
      </c>
      <c r="U1" s="58" t="s">
        <v>33</v>
      </c>
      <c r="V1" s="58">
        <v>2018</v>
      </c>
      <c r="W1" s="57" t="s">
        <v>328</v>
      </c>
      <c r="X1" s="57"/>
      <c r="Y1" s="57" t="s">
        <v>35</v>
      </c>
      <c r="Z1" s="57" t="s">
        <v>36</v>
      </c>
      <c r="AA1" s="57" t="s">
        <v>39</v>
      </c>
      <c r="AB1" s="57" t="s">
        <v>40</v>
      </c>
      <c r="AC1" s="57">
        <v>2019</v>
      </c>
      <c r="AD1" s="57" t="s">
        <v>329</v>
      </c>
      <c r="AE1" s="57" t="s">
        <v>41</v>
      </c>
      <c r="AF1" s="57" t="s">
        <v>42</v>
      </c>
      <c r="AG1" s="57" t="s">
        <v>43</v>
      </c>
      <c r="AH1" s="57" t="s">
        <v>44</v>
      </c>
      <c r="AI1" s="57">
        <v>2020</v>
      </c>
      <c r="AJ1" s="57" t="s">
        <v>330</v>
      </c>
      <c r="AK1" s="57" t="s">
        <v>47</v>
      </c>
      <c r="AL1" s="57" t="s">
        <v>48</v>
      </c>
      <c r="AM1" s="57" t="s">
        <v>49</v>
      </c>
      <c r="AN1" s="57" t="s">
        <v>50</v>
      </c>
      <c r="AO1" s="57">
        <v>2021</v>
      </c>
      <c r="AP1" s="57" t="s">
        <v>331</v>
      </c>
      <c r="AQ1" s="57" t="s">
        <v>51</v>
      </c>
      <c r="AR1" s="57" t="s">
        <v>52</v>
      </c>
      <c r="AS1" s="57" t="s">
        <v>53</v>
      </c>
      <c r="AT1" s="57" t="s">
        <v>54</v>
      </c>
      <c r="AU1" s="57">
        <v>2022</v>
      </c>
      <c r="AV1" s="57" t="s">
        <v>332</v>
      </c>
      <c r="AW1" s="57" t="s">
        <v>55</v>
      </c>
      <c r="AX1" s="57" t="s">
        <v>56</v>
      </c>
      <c r="AY1" s="57" t="s">
        <v>57</v>
      </c>
      <c r="AZ1" s="57" t="s">
        <v>61</v>
      </c>
      <c r="BA1" s="57">
        <v>2023</v>
      </c>
      <c r="BB1" s="57" t="s">
        <v>333</v>
      </c>
      <c r="BC1" s="57" t="s">
        <v>64</v>
      </c>
      <c r="BD1" s="57" t="s">
        <v>68</v>
      </c>
      <c r="BE1" s="57" t="s">
        <v>70</v>
      </c>
      <c r="BF1" s="57" t="s">
        <v>72</v>
      </c>
      <c r="BG1" s="57">
        <v>2024</v>
      </c>
      <c r="BH1" s="57" t="s">
        <v>334</v>
      </c>
      <c r="BI1" s="57" t="s">
        <v>76</v>
      </c>
      <c r="BJ1" s="57" t="s">
        <v>79</v>
      </c>
      <c r="BK1" s="57" t="s">
        <v>81</v>
      </c>
      <c r="BL1" s="57" t="s">
        <v>83</v>
      </c>
      <c r="BM1" s="57">
        <v>2025</v>
      </c>
      <c r="BN1" s="57" t="s">
        <v>86</v>
      </c>
      <c r="BO1" s="57" t="s">
        <v>88</v>
      </c>
      <c r="BP1" s="57" t="s">
        <v>335</v>
      </c>
    </row>
    <row r="2" spans="1:74" ht="15" customHeight="1">
      <c r="A2" s="538" t="s">
        <v>22</v>
      </c>
      <c r="B2" s="59"/>
      <c r="C2" s="60"/>
      <c r="D2" s="59"/>
      <c r="E2" s="59"/>
      <c r="F2" s="59"/>
      <c r="G2" s="59"/>
      <c r="H2" s="59"/>
      <c r="I2" s="59"/>
      <c r="J2" s="60"/>
      <c r="K2" s="59"/>
      <c r="L2" s="59"/>
      <c r="M2" s="59"/>
      <c r="N2" s="59"/>
      <c r="O2" s="59"/>
      <c r="P2" s="59"/>
      <c r="Q2" s="60"/>
      <c r="R2" s="59"/>
      <c r="S2" s="59"/>
      <c r="T2" s="59"/>
      <c r="U2" s="59"/>
      <c r="V2" s="59"/>
      <c r="W2" s="59"/>
      <c r="X2" s="60"/>
      <c r="Y2" s="59"/>
      <c r="Z2" s="59"/>
      <c r="AA2" s="59"/>
      <c r="AB2" s="59"/>
      <c r="AC2" s="59"/>
      <c r="AD2" s="59"/>
      <c r="AE2" s="59"/>
      <c r="AF2" s="59"/>
      <c r="AG2" s="59"/>
      <c r="AJ2" s="59"/>
      <c r="AK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R2" s="466"/>
      <c r="BS2" s="466"/>
      <c r="BT2" s="466"/>
      <c r="BU2" s="466"/>
      <c r="BV2" s="466"/>
    </row>
    <row r="3" spans="1:74" ht="12.75" customHeight="1">
      <c r="A3" s="539" t="s">
        <v>310</v>
      </c>
      <c r="B3" s="62">
        <v>574.29999999999995</v>
      </c>
      <c r="C3" s="63"/>
      <c r="D3" s="64">
        <v>128.1</v>
      </c>
      <c r="E3" s="62">
        <v>134.9</v>
      </c>
      <c r="F3" s="62">
        <v>137.69999999999999</v>
      </c>
      <c r="G3" s="62">
        <v>135</v>
      </c>
      <c r="H3" s="62">
        <v>535.6</v>
      </c>
      <c r="I3" s="65">
        <f t="shared" ref="I3:I8" si="0">H3/B3-1</f>
        <v>-6.7386383423297835E-2</v>
      </c>
      <c r="J3" s="66"/>
      <c r="K3" s="64">
        <v>130.6</v>
      </c>
      <c r="L3" s="62">
        <v>133.6</v>
      </c>
      <c r="M3" s="62">
        <v>135.6</v>
      </c>
      <c r="N3" s="62">
        <v>122.2</v>
      </c>
      <c r="O3" s="62">
        <v>522</v>
      </c>
      <c r="P3" s="65">
        <f t="shared" ref="P3:P8" si="1">O3/H3-1</f>
        <v>-2.5392083644510843E-2</v>
      </c>
      <c r="Q3" s="66"/>
      <c r="R3" s="64">
        <v>110.8</v>
      </c>
      <c r="S3" s="62">
        <v>116.7</v>
      </c>
      <c r="T3" s="62">
        <v>138.9</v>
      </c>
      <c r="U3" s="62">
        <v>135.4</v>
      </c>
      <c r="V3" s="62">
        <v>501.8</v>
      </c>
      <c r="W3" s="65">
        <f t="shared" ref="W3:W8" si="2">V3/O3-1</f>
        <v>-3.8697318007662851E-2</v>
      </c>
      <c r="X3" s="67"/>
      <c r="Y3" s="64">
        <v>141.69999999999999</v>
      </c>
      <c r="Z3" s="68">
        <v>144.9</v>
      </c>
      <c r="AA3" s="68">
        <v>141</v>
      </c>
      <c r="AB3" s="68">
        <v>138</v>
      </c>
      <c r="AC3" s="68">
        <v>565.6</v>
      </c>
      <c r="AD3" s="69">
        <f>AC3/V3-1</f>
        <v>0.12714228776404934</v>
      </c>
      <c r="AE3" s="68">
        <v>141</v>
      </c>
      <c r="AF3" s="68">
        <v>139.80000000000001</v>
      </c>
      <c r="AG3" s="68">
        <v>131.1</v>
      </c>
      <c r="AH3" s="68">
        <v>148.5</v>
      </c>
      <c r="AI3" s="68">
        <v>560.4</v>
      </c>
      <c r="AJ3" s="69">
        <f>AI3/AC3-1</f>
        <v>-9.1937765205092337E-3</v>
      </c>
      <c r="AK3" s="68">
        <v>146.4</v>
      </c>
      <c r="AL3" s="131">
        <v>146.80000000000001</v>
      </c>
      <c r="AM3" s="131">
        <v>146.9</v>
      </c>
      <c r="AN3" s="131">
        <f>AO3-AK3-AL3-AM3</f>
        <v>137.50000000000003</v>
      </c>
      <c r="AO3" s="131">
        <v>577.6</v>
      </c>
      <c r="AP3" s="234">
        <f>AO3/AI3-1</f>
        <v>3.069236259814434E-2</v>
      </c>
      <c r="AQ3" s="131">
        <v>151.1</v>
      </c>
      <c r="AR3" s="131">
        <v>145.19999999999999</v>
      </c>
      <c r="AS3" s="131">
        <v>146.19999999999999</v>
      </c>
      <c r="AT3" s="131">
        <v>143.5</v>
      </c>
      <c r="AU3" s="131">
        <v>586</v>
      </c>
      <c r="AV3" s="234">
        <f>AU3/AO3-1</f>
        <v>1.454293628808867E-2</v>
      </c>
      <c r="AW3" s="131">
        <v>149</v>
      </c>
      <c r="AX3" s="131">
        <v>146.80000000000001</v>
      </c>
      <c r="AY3" s="131">
        <v>147.69999999999999</v>
      </c>
      <c r="AZ3" s="131">
        <v>148.80000000000001</v>
      </c>
      <c r="BA3" s="131">
        <v>592.4</v>
      </c>
      <c r="BB3" s="234">
        <f>BA3/AU3-1</f>
        <v>1.0921501706484538E-2</v>
      </c>
      <c r="BC3" s="131">
        <v>146.16832699999998</v>
      </c>
      <c r="BD3" s="131">
        <v>146.30000000000001</v>
      </c>
      <c r="BE3" s="131">
        <v>148.74078299999991</v>
      </c>
      <c r="BF3" s="131">
        <v>147.50835400000011</v>
      </c>
      <c r="BG3" s="131">
        <v>588.74929000000009</v>
      </c>
      <c r="BH3" s="234">
        <f>BG3/BA3-1</f>
        <v>-6.1625759621874998E-3</v>
      </c>
      <c r="BI3" s="131">
        <v>134.001937</v>
      </c>
      <c r="BJ3" s="131">
        <v>138.36560899999995</v>
      </c>
      <c r="BK3" s="131">
        <v>148.63245400000005</v>
      </c>
      <c r="BL3" s="131">
        <v>149.991457</v>
      </c>
      <c r="BM3" s="131">
        <f>BI3+BJ3+BK3+BL3</f>
        <v>570.99145699999997</v>
      </c>
      <c r="BN3" s="131">
        <v>145.31831900000003</v>
      </c>
      <c r="BO3" s="355">
        <v>146.21598899999995</v>
      </c>
      <c r="BP3" s="356">
        <f>BO3/BJ3-1</f>
        <v>5.6736497289582966E-2</v>
      </c>
      <c r="BR3" s="473"/>
      <c r="BS3" s="468"/>
      <c r="BT3" s="468"/>
      <c r="BU3" s="468"/>
      <c r="BV3" s="466"/>
    </row>
    <row r="4" spans="1:74" ht="12.75" customHeight="1">
      <c r="A4" s="539" t="s">
        <v>311</v>
      </c>
      <c r="B4" s="62">
        <v>263.7</v>
      </c>
      <c r="C4" s="70"/>
      <c r="D4" s="64">
        <v>66.7</v>
      </c>
      <c r="E4" s="62">
        <v>72.3</v>
      </c>
      <c r="F4" s="62">
        <v>73.3</v>
      </c>
      <c r="G4" s="62">
        <v>55.1</v>
      </c>
      <c r="H4" s="62">
        <v>267.39999999999998</v>
      </c>
      <c r="I4" s="65">
        <f t="shared" si="0"/>
        <v>1.4031095942358629E-2</v>
      </c>
      <c r="J4" s="66"/>
      <c r="K4" s="64">
        <v>69.7</v>
      </c>
      <c r="L4" s="62">
        <v>67.3</v>
      </c>
      <c r="M4" s="62">
        <v>73.599999999999994</v>
      </c>
      <c r="N4" s="62">
        <v>47.3</v>
      </c>
      <c r="O4" s="62">
        <v>257.89999999999998</v>
      </c>
      <c r="P4" s="65">
        <f t="shared" si="1"/>
        <v>-3.5527299925205647E-2</v>
      </c>
      <c r="Q4" s="66"/>
      <c r="R4" s="64">
        <v>66.2</v>
      </c>
      <c r="S4" s="62">
        <v>65.900000000000006</v>
      </c>
      <c r="T4" s="62">
        <v>72</v>
      </c>
      <c r="U4" s="62">
        <v>62.3</v>
      </c>
      <c r="V4" s="62">
        <v>266.39999999999998</v>
      </c>
      <c r="W4" s="65">
        <f t="shared" si="2"/>
        <v>3.2958511050794836E-2</v>
      </c>
      <c r="X4" s="67"/>
      <c r="Y4" s="64">
        <v>67.599999999999994</v>
      </c>
      <c r="Z4" s="71">
        <v>68.2</v>
      </c>
      <c r="AA4" s="71">
        <v>74.3</v>
      </c>
      <c r="AB4" s="68">
        <v>56</v>
      </c>
      <c r="AC4" s="68">
        <v>266.10000000000002</v>
      </c>
      <c r="AD4" s="69">
        <f t="shared" ref="AD4:AD16" si="3">AC4/V4-1</f>
        <v>-1.1261261261259481E-3</v>
      </c>
      <c r="AE4" s="68">
        <v>70</v>
      </c>
      <c r="AF4" s="68">
        <v>61.2</v>
      </c>
      <c r="AG4" s="68">
        <v>65.400000000000006</v>
      </c>
      <c r="AH4" s="68">
        <v>62.9</v>
      </c>
      <c r="AI4" s="68">
        <v>259.5</v>
      </c>
      <c r="AJ4" s="69">
        <f>AI4/AC4-1</f>
        <v>-2.4802705749718212E-2</v>
      </c>
      <c r="AK4" s="68">
        <v>71.599999999999994</v>
      </c>
      <c r="AL4" s="138">
        <v>71.900000000000006</v>
      </c>
      <c r="AM4" s="138">
        <v>77.2</v>
      </c>
      <c r="AN4" s="138">
        <f>AO4-AK4-AL4-AM4</f>
        <v>61.199999999999974</v>
      </c>
      <c r="AO4" s="138">
        <v>281.89999999999998</v>
      </c>
      <c r="AP4" s="234">
        <f t="shared" ref="AP4:AP16" si="4">AO4/AI4-1</f>
        <v>8.6319845857417921E-2</v>
      </c>
      <c r="AQ4" s="138">
        <v>72.3</v>
      </c>
      <c r="AR4" s="138">
        <v>71.7</v>
      </c>
      <c r="AS4" s="138">
        <v>73.8</v>
      </c>
      <c r="AT4" s="138">
        <v>60</v>
      </c>
      <c r="AU4" s="138">
        <v>277.8</v>
      </c>
      <c r="AV4" s="234">
        <f t="shared" ref="AV4:AV16" si="5">AU4/AO4-1</f>
        <v>-1.4544164597374842E-2</v>
      </c>
      <c r="AW4" s="138">
        <v>71.900000000000006</v>
      </c>
      <c r="AX4" s="138">
        <v>70.3</v>
      </c>
      <c r="AY4" s="138">
        <v>73.900000000000006</v>
      </c>
      <c r="AZ4" s="138">
        <v>59.700000000000017</v>
      </c>
      <c r="BA4" s="138">
        <v>275.8</v>
      </c>
      <c r="BB4" s="234">
        <f t="shared" ref="BB4:BB16" si="6">BA4/AU4-1</f>
        <v>-7.1994240460763193E-3</v>
      </c>
      <c r="BC4" s="138">
        <v>74.947348000000005</v>
      </c>
      <c r="BD4" s="138">
        <v>71.099999999999994</v>
      </c>
      <c r="BE4" s="138">
        <v>74.79818699999997</v>
      </c>
      <c r="BF4" s="138">
        <v>66.355862999999957</v>
      </c>
      <c r="BG4" s="138">
        <v>287.19971599999997</v>
      </c>
      <c r="BH4" s="234">
        <f t="shared" ref="BH4:BH16" si="7">BG4/BA4-1</f>
        <v>4.1333270485859108E-2</v>
      </c>
      <c r="BI4" s="138">
        <v>72.018346000000008</v>
      </c>
      <c r="BJ4" s="138">
        <v>70.11526200000003</v>
      </c>
      <c r="BK4" s="138">
        <v>75.566391999999951</v>
      </c>
      <c r="BL4" s="138">
        <v>62.207000000000001</v>
      </c>
      <c r="BM4" s="138">
        <f t="shared" ref="BM4:BM16" si="8">BI4+BJ4+BK4+BL4</f>
        <v>279.90699999999998</v>
      </c>
      <c r="BN4" s="138">
        <v>73.530307000000008</v>
      </c>
      <c r="BO4" s="355">
        <v>70.882249999999985</v>
      </c>
      <c r="BP4" s="356">
        <f>BO4/BJ4-1</f>
        <v>1.093895933812461E-2</v>
      </c>
      <c r="BR4" s="473"/>
      <c r="BS4" s="468"/>
      <c r="BT4" s="468"/>
      <c r="BU4" s="468"/>
      <c r="BV4" s="466"/>
    </row>
    <row r="5" spans="1:74" ht="12.75" customHeight="1">
      <c r="A5" s="539" t="s">
        <v>312</v>
      </c>
      <c r="B5" s="62">
        <v>12.7</v>
      </c>
      <c r="C5" s="70"/>
      <c r="D5" s="64">
        <v>3.4</v>
      </c>
      <c r="E5" s="62">
        <v>2.8</v>
      </c>
      <c r="F5" s="62">
        <v>3.6</v>
      </c>
      <c r="G5" s="62">
        <v>3.1</v>
      </c>
      <c r="H5" s="62">
        <v>13</v>
      </c>
      <c r="I5" s="65">
        <f t="shared" si="0"/>
        <v>2.3622047244094446E-2</v>
      </c>
      <c r="J5" s="66"/>
      <c r="K5" s="64">
        <v>4.3</v>
      </c>
      <c r="L5" s="62">
        <v>3.7</v>
      </c>
      <c r="M5" s="62">
        <v>4.0999999999999996</v>
      </c>
      <c r="N5" s="62">
        <v>1.6</v>
      </c>
      <c r="O5" s="62">
        <v>13.7</v>
      </c>
      <c r="P5" s="65">
        <f t="shared" si="1"/>
        <v>5.3846153846153877E-2</v>
      </c>
      <c r="Q5" s="66"/>
      <c r="R5" s="64">
        <v>3.9</v>
      </c>
      <c r="S5" s="62">
        <v>4.3</v>
      </c>
      <c r="T5" s="62">
        <v>3.9</v>
      </c>
      <c r="U5" s="62">
        <v>3.7</v>
      </c>
      <c r="V5" s="62">
        <v>15.8</v>
      </c>
      <c r="W5" s="65">
        <f t="shared" si="2"/>
        <v>0.15328467153284686</v>
      </c>
      <c r="X5" s="67"/>
      <c r="Y5" s="64">
        <v>4</v>
      </c>
      <c r="Z5" s="71">
        <v>2.8</v>
      </c>
      <c r="AA5" s="71">
        <v>4.4000000000000004</v>
      </c>
      <c r="AB5" s="68">
        <v>3.7</v>
      </c>
      <c r="AC5" s="68">
        <v>14.9</v>
      </c>
      <c r="AD5" s="69">
        <f t="shared" si="3"/>
        <v>-5.6962025316455667E-2</v>
      </c>
      <c r="AE5" s="68">
        <v>0</v>
      </c>
      <c r="AF5" s="68">
        <v>0</v>
      </c>
      <c r="AG5" s="68">
        <v>0</v>
      </c>
      <c r="AH5" s="68" t="s">
        <v>45</v>
      </c>
      <c r="AI5" s="68" t="s">
        <v>45</v>
      </c>
      <c r="AJ5" s="69" t="s">
        <v>15</v>
      </c>
      <c r="AK5" s="68" t="s">
        <v>15</v>
      </c>
      <c r="AL5" s="139" t="s">
        <v>15</v>
      </c>
      <c r="AM5" s="139" t="s">
        <v>15</v>
      </c>
      <c r="AN5" s="139" t="s">
        <v>15</v>
      </c>
      <c r="AO5" s="139" t="s">
        <v>15</v>
      </c>
      <c r="AP5" s="235" t="s">
        <v>15</v>
      </c>
      <c r="AQ5" s="139" t="s">
        <v>15</v>
      </c>
      <c r="AR5" s="139" t="s">
        <v>15</v>
      </c>
      <c r="AS5" s="139" t="s">
        <v>15</v>
      </c>
      <c r="AT5" s="139" t="s">
        <v>15</v>
      </c>
      <c r="AU5" s="139" t="s">
        <v>15</v>
      </c>
      <c r="AV5" s="235" t="s">
        <v>15</v>
      </c>
      <c r="AW5" s="139" t="s">
        <v>15</v>
      </c>
      <c r="AX5" s="139" t="s">
        <v>15</v>
      </c>
      <c r="AY5" s="139" t="s">
        <v>15</v>
      </c>
      <c r="AZ5" s="139" t="s">
        <v>15</v>
      </c>
      <c r="BA5" s="139" t="s">
        <v>15</v>
      </c>
      <c r="BB5" s="235" t="s">
        <v>15</v>
      </c>
      <c r="BC5" s="139" t="s">
        <v>15</v>
      </c>
      <c r="BD5" s="139" t="s">
        <v>15</v>
      </c>
      <c r="BE5" s="139" t="s">
        <v>15</v>
      </c>
      <c r="BF5" s="139" t="s">
        <v>15</v>
      </c>
      <c r="BG5" s="139" t="s">
        <v>15</v>
      </c>
      <c r="BH5" s="235" t="s">
        <v>15</v>
      </c>
      <c r="BI5" s="139" t="s">
        <v>15</v>
      </c>
      <c r="BJ5" s="139" t="s">
        <v>15</v>
      </c>
      <c r="BK5" s="139" t="s">
        <v>15</v>
      </c>
      <c r="BL5" s="139" t="s">
        <v>15</v>
      </c>
      <c r="BM5" s="139" t="s">
        <v>15</v>
      </c>
      <c r="BN5" s="139" t="s">
        <v>15</v>
      </c>
      <c r="BO5" s="462" t="s">
        <v>15</v>
      </c>
      <c r="BP5" s="555" t="s">
        <v>15</v>
      </c>
      <c r="BR5" s="473"/>
      <c r="BS5" s="468"/>
      <c r="BT5" s="468"/>
      <c r="BU5" s="468"/>
      <c r="BV5" s="466"/>
    </row>
    <row r="6" spans="1:74" ht="12.75" customHeight="1">
      <c r="A6" s="539" t="s">
        <v>313</v>
      </c>
      <c r="B6" s="72">
        <v>1283</v>
      </c>
      <c r="C6" s="70"/>
      <c r="D6" s="64">
        <v>295</v>
      </c>
      <c r="E6" s="62">
        <v>272</v>
      </c>
      <c r="F6" s="62">
        <v>321</v>
      </c>
      <c r="G6" s="62">
        <v>303</v>
      </c>
      <c r="H6" s="72">
        <v>1191</v>
      </c>
      <c r="I6" s="65">
        <f t="shared" si="0"/>
        <v>-7.1706936866718585E-2</v>
      </c>
      <c r="J6" s="66"/>
      <c r="K6" s="64">
        <v>293.5</v>
      </c>
      <c r="L6" s="62">
        <v>298.39999999999998</v>
      </c>
      <c r="M6" s="62">
        <v>323.8</v>
      </c>
      <c r="N6" s="62">
        <v>302.5</v>
      </c>
      <c r="O6" s="72">
        <v>1218.2</v>
      </c>
      <c r="P6" s="65">
        <f t="shared" si="1"/>
        <v>2.2837951301427406E-2</v>
      </c>
      <c r="Q6" s="66"/>
      <c r="R6" s="64">
        <v>239.3</v>
      </c>
      <c r="S6" s="62">
        <v>239.1</v>
      </c>
      <c r="T6" s="62">
        <v>357.8</v>
      </c>
      <c r="U6" s="62">
        <v>352.6</v>
      </c>
      <c r="V6" s="72">
        <v>1188.8</v>
      </c>
      <c r="W6" s="65">
        <f t="shared" si="2"/>
        <v>-2.4133968149729235E-2</v>
      </c>
      <c r="X6" s="67"/>
      <c r="Y6" s="64">
        <v>321</v>
      </c>
      <c r="Z6" s="71">
        <v>383.6</v>
      </c>
      <c r="AA6" s="71">
        <v>313.3</v>
      </c>
      <c r="AB6" s="68">
        <v>382.3</v>
      </c>
      <c r="AC6" s="73">
        <v>1400.2</v>
      </c>
      <c r="AD6" s="69">
        <f t="shared" si="3"/>
        <v>0.17782637954239577</v>
      </c>
      <c r="AE6" s="73">
        <v>329.2</v>
      </c>
      <c r="AF6" s="73">
        <v>365.9</v>
      </c>
      <c r="AG6" s="73">
        <v>280.39999999999998</v>
      </c>
      <c r="AH6" s="73">
        <v>347.5</v>
      </c>
      <c r="AI6" s="73">
        <v>1322.9</v>
      </c>
      <c r="AJ6" s="69">
        <f>AI6/AC6-1</f>
        <v>-5.5206399085844793E-2</v>
      </c>
      <c r="AK6" s="73">
        <v>298.60000000000002</v>
      </c>
      <c r="AL6" s="140">
        <v>360.8</v>
      </c>
      <c r="AM6" s="140">
        <v>323.2</v>
      </c>
      <c r="AN6" s="140">
        <f>AO6-AK6-AL6-AM6</f>
        <v>349.59999999999997</v>
      </c>
      <c r="AO6" s="140">
        <v>1332.2</v>
      </c>
      <c r="AP6" s="234">
        <f t="shared" si="4"/>
        <v>7.0300098268953892E-3</v>
      </c>
      <c r="AQ6" s="140">
        <v>339.8</v>
      </c>
      <c r="AR6" s="140">
        <v>328.7</v>
      </c>
      <c r="AS6" s="140">
        <v>331.3</v>
      </c>
      <c r="AT6" s="140">
        <v>298.60000000000002</v>
      </c>
      <c r="AU6" s="140">
        <v>1298.4000000000001</v>
      </c>
      <c r="AV6" s="234">
        <f t="shared" si="5"/>
        <v>-2.5371565830956233E-2</v>
      </c>
      <c r="AW6" s="140">
        <v>374.9</v>
      </c>
      <c r="AX6" s="140">
        <v>324.2</v>
      </c>
      <c r="AY6" s="140">
        <v>381</v>
      </c>
      <c r="AZ6" s="140">
        <v>323.19999999999993</v>
      </c>
      <c r="BA6" s="140">
        <v>1403.3</v>
      </c>
      <c r="BB6" s="234">
        <f t="shared" si="6"/>
        <v>8.0791743684534678E-2</v>
      </c>
      <c r="BC6" s="140">
        <v>309.84033099999999</v>
      </c>
      <c r="BD6" s="140">
        <v>356</v>
      </c>
      <c r="BE6" s="140">
        <v>296.786564</v>
      </c>
      <c r="BF6" s="140">
        <v>353.69598800000006</v>
      </c>
      <c r="BG6" s="140">
        <v>1316.27583</v>
      </c>
      <c r="BH6" s="234">
        <f t="shared" si="7"/>
        <v>-6.2013945699422757E-2</v>
      </c>
      <c r="BI6" s="140">
        <v>315.59106800000001</v>
      </c>
      <c r="BJ6" s="140">
        <v>330.6858600000001</v>
      </c>
      <c r="BK6" s="140">
        <v>329.82307199999985</v>
      </c>
      <c r="BL6" s="140">
        <v>347.185789</v>
      </c>
      <c r="BM6" s="140">
        <f t="shared" si="8"/>
        <v>1323.285789</v>
      </c>
      <c r="BN6" s="140">
        <v>320.804643</v>
      </c>
      <c r="BO6" s="461">
        <v>375.87802400000004</v>
      </c>
      <c r="BP6" s="356">
        <f>BO6/BJ6-1</f>
        <v>0.13666191835356956</v>
      </c>
      <c r="BR6" s="473"/>
      <c r="BS6" s="476"/>
      <c r="BT6" s="468"/>
      <c r="BU6" s="468"/>
      <c r="BV6" s="466"/>
    </row>
    <row r="7" spans="1:74" ht="12.75" customHeight="1">
      <c r="A7" s="539" t="s">
        <v>314</v>
      </c>
      <c r="B7" s="62">
        <v>86.9</v>
      </c>
      <c r="C7" s="70"/>
      <c r="D7" s="64">
        <v>26.2</v>
      </c>
      <c r="E7" s="62">
        <v>27.3</v>
      </c>
      <c r="F7" s="62">
        <v>30.7</v>
      </c>
      <c r="G7" s="62">
        <v>29.6</v>
      </c>
      <c r="H7" s="62">
        <v>113.8</v>
      </c>
      <c r="I7" s="65">
        <f t="shared" si="0"/>
        <v>0.30955120828538529</v>
      </c>
      <c r="J7" s="66"/>
      <c r="K7" s="64">
        <v>33.5</v>
      </c>
      <c r="L7" s="62">
        <v>21.9</v>
      </c>
      <c r="M7" s="62">
        <v>31.3</v>
      </c>
      <c r="N7" s="62">
        <v>30.64</v>
      </c>
      <c r="O7" s="62">
        <v>117.3</v>
      </c>
      <c r="P7" s="65">
        <f t="shared" si="1"/>
        <v>3.0755711775043881E-2</v>
      </c>
      <c r="Q7" s="66"/>
      <c r="R7" s="64">
        <v>18.3</v>
      </c>
      <c r="S7" s="62">
        <v>20.100000000000001</v>
      </c>
      <c r="T7" s="62">
        <v>23.7</v>
      </c>
      <c r="U7" s="62">
        <v>21.2</v>
      </c>
      <c r="V7" s="62">
        <v>83.2</v>
      </c>
      <c r="W7" s="65">
        <f t="shared" si="2"/>
        <v>-0.29070758738277913</v>
      </c>
      <c r="X7" s="67"/>
      <c r="Y7" s="64">
        <v>19.8</v>
      </c>
      <c r="Z7" s="71">
        <v>30.8</v>
      </c>
      <c r="AA7" s="71">
        <v>20.8</v>
      </c>
      <c r="AB7" s="68">
        <v>32.299999999999997</v>
      </c>
      <c r="AC7" s="68">
        <v>103.7</v>
      </c>
      <c r="AD7" s="69">
        <f t="shared" si="3"/>
        <v>0.24639423076923084</v>
      </c>
      <c r="AE7" s="68">
        <v>25.2</v>
      </c>
      <c r="AF7" s="68">
        <v>20.399999999999999</v>
      </c>
      <c r="AG7" s="68">
        <v>21.5</v>
      </c>
      <c r="AH7" s="68">
        <v>29.7</v>
      </c>
      <c r="AI7" s="68">
        <v>96.8</v>
      </c>
      <c r="AJ7" s="69">
        <f>AI7/AC7-1</f>
        <v>-6.6538090646094505E-2</v>
      </c>
      <c r="AK7" s="68">
        <v>16.600000000000001</v>
      </c>
      <c r="AL7" s="138">
        <v>21.5</v>
      </c>
      <c r="AM7" s="138">
        <v>23.3</v>
      </c>
      <c r="AN7" s="138">
        <f>AO7-AK7-AL7-AM7</f>
        <v>19.899999999999988</v>
      </c>
      <c r="AO7" s="138">
        <v>81.3</v>
      </c>
      <c r="AP7" s="234">
        <f t="shared" si="4"/>
        <v>-0.16012396694214881</v>
      </c>
      <c r="AQ7" s="138">
        <v>21.1</v>
      </c>
      <c r="AR7" s="138">
        <v>19.8</v>
      </c>
      <c r="AS7" s="138">
        <v>20.9</v>
      </c>
      <c r="AT7" s="138">
        <v>25.5</v>
      </c>
      <c r="AU7" s="138">
        <v>87.3</v>
      </c>
      <c r="AV7" s="234">
        <f t="shared" si="5"/>
        <v>7.3800738007380184E-2</v>
      </c>
      <c r="AW7" s="138">
        <v>30.9</v>
      </c>
      <c r="AX7" s="138">
        <v>26.8</v>
      </c>
      <c r="AY7" s="138">
        <v>25.6</v>
      </c>
      <c r="AZ7" s="138">
        <v>27.70000000000001</v>
      </c>
      <c r="BA7" s="138">
        <v>111</v>
      </c>
      <c r="BB7" s="234">
        <f t="shared" si="6"/>
        <v>0.2714776632302407</v>
      </c>
      <c r="BC7" s="138">
        <v>20.117435874564361</v>
      </c>
      <c r="BD7" s="138">
        <v>24.7</v>
      </c>
      <c r="BE7" s="138">
        <v>19.415215343385675</v>
      </c>
      <c r="BF7" s="138">
        <v>22.571383402385436</v>
      </c>
      <c r="BG7" s="138">
        <v>86.831967929707517</v>
      </c>
      <c r="BH7" s="234">
        <f t="shared" si="7"/>
        <v>-0.21773001865128361</v>
      </c>
      <c r="BI7" s="138">
        <v>21.472994941838799</v>
      </c>
      <c r="BJ7" s="138">
        <v>22.26291949458205</v>
      </c>
      <c r="BK7" s="138">
        <v>18.599999999999998</v>
      </c>
      <c r="BL7" s="138">
        <v>26.225750301895477</v>
      </c>
      <c r="BM7" s="138">
        <f t="shared" si="8"/>
        <v>88.561664738316324</v>
      </c>
      <c r="BN7" s="138">
        <v>23.735349740708102</v>
      </c>
      <c r="BO7" s="355">
        <v>24.898017188869396</v>
      </c>
      <c r="BP7" s="356">
        <f>BO7/BJ7-1</f>
        <v>0.11836262961507038</v>
      </c>
      <c r="BR7" s="473"/>
      <c r="BS7" s="468"/>
      <c r="BT7" s="468"/>
      <c r="BU7" s="468"/>
      <c r="BV7" s="466"/>
    </row>
    <row r="8" spans="1:74" ht="12.75" customHeight="1">
      <c r="A8" s="539" t="s">
        <v>315</v>
      </c>
      <c r="B8" s="62">
        <v>29.3</v>
      </c>
      <c r="C8" s="70"/>
      <c r="D8" s="64">
        <v>8</v>
      </c>
      <c r="E8" s="62">
        <v>7.8</v>
      </c>
      <c r="F8" s="62">
        <v>6.3</v>
      </c>
      <c r="G8" s="62">
        <v>8</v>
      </c>
      <c r="H8" s="62">
        <v>30.1</v>
      </c>
      <c r="I8" s="65">
        <f t="shared" si="0"/>
        <v>2.7303754266211566E-2</v>
      </c>
      <c r="J8" s="66"/>
      <c r="K8" s="64">
        <v>7.8</v>
      </c>
      <c r="L8" s="62">
        <v>7.7</v>
      </c>
      <c r="M8" s="62">
        <v>6.3</v>
      </c>
      <c r="N8" s="62">
        <v>8.1999999999999993</v>
      </c>
      <c r="O8" s="62">
        <v>30</v>
      </c>
      <c r="P8" s="65">
        <f t="shared" si="1"/>
        <v>-3.3222591362126463E-3</v>
      </c>
      <c r="Q8" s="66"/>
      <c r="R8" s="64">
        <v>7.5</v>
      </c>
      <c r="S8" s="62">
        <v>7.6</v>
      </c>
      <c r="T8" s="62">
        <v>6.9</v>
      </c>
      <c r="U8" s="62">
        <v>8.1999999999999993</v>
      </c>
      <c r="V8" s="62">
        <v>30.1</v>
      </c>
      <c r="W8" s="65">
        <f t="shared" si="2"/>
        <v>3.3333333333334103E-3</v>
      </c>
      <c r="X8" s="67"/>
      <c r="Y8" s="64">
        <v>7.6</v>
      </c>
      <c r="Z8" s="71">
        <v>7.8</v>
      </c>
      <c r="AA8" s="71">
        <v>6.7</v>
      </c>
      <c r="AB8" s="68">
        <v>8</v>
      </c>
      <c r="AC8" s="68">
        <v>30.1</v>
      </c>
      <c r="AD8" s="69">
        <f t="shared" si="3"/>
        <v>0</v>
      </c>
      <c r="AE8" s="68">
        <v>7.9</v>
      </c>
      <c r="AF8" s="68">
        <v>7.9</v>
      </c>
      <c r="AG8" s="68">
        <v>6.4</v>
      </c>
      <c r="AH8" s="68">
        <v>8</v>
      </c>
      <c r="AI8" s="68">
        <v>30.2</v>
      </c>
      <c r="AJ8" s="69">
        <f>AI8/AC8-1</f>
        <v>3.3222591362125353E-3</v>
      </c>
      <c r="AK8" s="68">
        <v>7.8</v>
      </c>
      <c r="AL8" s="138">
        <v>7.9</v>
      </c>
      <c r="AM8" s="138">
        <v>6.4</v>
      </c>
      <c r="AN8" s="138">
        <f>AO8-AK8-AL8-AM8</f>
        <v>7.9699999999999989</v>
      </c>
      <c r="AO8" s="138">
        <v>30.07</v>
      </c>
      <c r="AP8" s="234">
        <f t="shared" si="4"/>
        <v>-4.3046357615893482E-3</v>
      </c>
      <c r="AQ8" s="138">
        <v>7.8</v>
      </c>
      <c r="AR8" s="138">
        <v>7.9</v>
      </c>
      <c r="AS8" s="138">
        <v>5.9</v>
      </c>
      <c r="AT8" s="138">
        <v>7.2</v>
      </c>
      <c r="AU8" s="138">
        <v>28.8</v>
      </c>
      <c r="AV8" s="234">
        <f t="shared" si="5"/>
        <v>-4.2234785500498861E-2</v>
      </c>
      <c r="AW8" s="138">
        <v>7.1</v>
      </c>
      <c r="AX8" s="138">
        <v>7.3</v>
      </c>
      <c r="AY8" s="138">
        <v>6.6</v>
      </c>
      <c r="AZ8" s="138">
        <v>8.1</v>
      </c>
      <c r="BA8" s="138">
        <v>29.1</v>
      </c>
      <c r="BB8" s="234">
        <f t="shared" si="6"/>
        <v>1.0416666666666741E-2</v>
      </c>
      <c r="BC8" s="138">
        <v>7.4486859999999995</v>
      </c>
      <c r="BD8" s="138">
        <v>7.9</v>
      </c>
      <c r="BE8" s="138">
        <v>5.8967469999999977</v>
      </c>
      <c r="BF8" s="138">
        <v>7.5284869999999984</v>
      </c>
      <c r="BG8" s="138">
        <v>28.804909999999996</v>
      </c>
      <c r="BH8" s="234">
        <f t="shared" si="7"/>
        <v>-1.0140549828178913E-2</v>
      </c>
      <c r="BI8" s="138">
        <v>7.7320410000000006</v>
      </c>
      <c r="BJ8" s="138">
        <v>7.8867399999999979</v>
      </c>
      <c r="BK8" s="138">
        <v>6.3812190000000015</v>
      </c>
      <c r="BL8" s="138">
        <v>7.9379119999999999</v>
      </c>
      <c r="BM8" s="138">
        <f t="shared" si="8"/>
        <v>29.937912000000001</v>
      </c>
      <c r="BN8" s="138">
        <v>7.7</v>
      </c>
      <c r="BO8" s="355">
        <v>7.1637650000000006</v>
      </c>
      <c r="BP8" s="356">
        <f>BO8/BJ8-1</f>
        <v>-9.1669688616589085E-2</v>
      </c>
      <c r="BR8" s="473"/>
      <c r="BS8" s="468"/>
      <c r="BT8" s="468"/>
      <c r="BU8" s="468"/>
      <c r="BV8" s="466"/>
    </row>
    <row r="9" spans="1:74" ht="15" customHeight="1">
      <c r="A9" s="538" t="s">
        <v>316</v>
      </c>
      <c r="B9" s="74"/>
      <c r="C9" s="70"/>
      <c r="D9" s="74"/>
      <c r="E9" s="74"/>
      <c r="F9" s="74"/>
      <c r="G9" s="74"/>
      <c r="H9" s="75"/>
      <c r="I9" s="74"/>
      <c r="J9" s="74"/>
      <c r="K9" s="74"/>
      <c r="L9" s="74"/>
      <c r="M9" s="74"/>
      <c r="N9" s="74"/>
      <c r="O9" s="75"/>
      <c r="P9" s="66"/>
      <c r="Q9" s="66"/>
      <c r="R9" s="74"/>
      <c r="S9" s="74"/>
      <c r="T9" s="74"/>
      <c r="U9" s="74"/>
      <c r="V9" s="74"/>
      <c r="W9" s="67"/>
      <c r="X9" s="67"/>
      <c r="Y9" s="74"/>
      <c r="Z9" s="74"/>
      <c r="AA9" s="74"/>
      <c r="AB9" s="74"/>
      <c r="AC9" s="74"/>
      <c r="AD9" s="59"/>
      <c r="AE9" s="74"/>
      <c r="AF9" s="59"/>
      <c r="AG9" s="59"/>
      <c r="AH9" s="59"/>
      <c r="AI9" s="59"/>
      <c r="AJ9" s="59"/>
      <c r="AK9" s="59"/>
      <c r="AL9" s="141"/>
      <c r="AM9" s="141"/>
      <c r="AN9" s="141"/>
      <c r="AO9" s="141"/>
      <c r="AP9" s="234"/>
      <c r="AQ9" s="141"/>
      <c r="AR9" s="141"/>
      <c r="AS9" s="141"/>
      <c r="AT9" s="141"/>
      <c r="AU9" s="141"/>
      <c r="AV9" s="234"/>
      <c r="AW9" s="141"/>
      <c r="AX9" s="141"/>
      <c r="AY9" s="141"/>
      <c r="AZ9" s="141"/>
      <c r="BA9" s="141"/>
      <c r="BB9" s="141"/>
      <c r="BC9" s="141"/>
      <c r="BD9" s="141"/>
      <c r="BE9" s="141"/>
      <c r="BF9" s="141"/>
      <c r="BG9" s="141"/>
      <c r="BH9" s="141"/>
      <c r="BI9" s="141"/>
      <c r="BJ9" s="141"/>
      <c r="BK9" s="141"/>
      <c r="BL9" s="141"/>
      <c r="BM9" s="141"/>
      <c r="BN9" s="141"/>
      <c r="BO9" s="369"/>
      <c r="BP9" s="369"/>
      <c r="BR9" s="473"/>
      <c r="BS9" s="466"/>
      <c r="BT9" s="466"/>
      <c r="BU9" s="466"/>
      <c r="BV9" s="466"/>
    </row>
    <row r="10" spans="1:74" ht="12.75" customHeight="1">
      <c r="A10" s="539" t="s">
        <v>317</v>
      </c>
      <c r="B10" s="76">
        <v>97.6</v>
      </c>
      <c r="C10" s="70"/>
      <c r="D10" s="64">
        <v>23.7</v>
      </c>
      <c r="E10" s="76">
        <v>23.1</v>
      </c>
      <c r="F10" s="76">
        <v>22.1</v>
      </c>
      <c r="G10" s="76">
        <v>20.9</v>
      </c>
      <c r="H10" s="76">
        <v>89.8</v>
      </c>
      <c r="I10" s="77">
        <f>H10/B10-1</f>
        <v>-7.9918032786885251E-2</v>
      </c>
      <c r="J10" s="78"/>
      <c r="K10" s="64">
        <v>17.2</v>
      </c>
      <c r="L10" s="76">
        <v>21.5</v>
      </c>
      <c r="M10" s="76">
        <v>21.9</v>
      </c>
      <c r="N10" s="76">
        <v>20.399999999999999</v>
      </c>
      <c r="O10" s="76">
        <v>81</v>
      </c>
      <c r="P10" s="77">
        <f>O10/H10-1</f>
        <v>-9.7995545657015515E-2</v>
      </c>
      <c r="Q10" s="66"/>
      <c r="R10" s="64">
        <v>20.100000000000001</v>
      </c>
      <c r="S10" s="76">
        <v>22.5</v>
      </c>
      <c r="T10" s="76">
        <v>18.2</v>
      </c>
      <c r="U10" s="76">
        <v>18</v>
      </c>
      <c r="V10" s="76">
        <v>78.8</v>
      </c>
      <c r="W10" s="77">
        <f>V10/O10-1</f>
        <v>-2.716049382716057E-2</v>
      </c>
      <c r="X10" s="67"/>
      <c r="Y10" s="64">
        <v>16.3</v>
      </c>
      <c r="Z10" s="68">
        <v>19.7</v>
      </c>
      <c r="AA10" s="68">
        <v>21.5</v>
      </c>
      <c r="AB10" s="68">
        <v>19</v>
      </c>
      <c r="AC10" s="68">
        <v>76.5</v>
      </c>
      <c r="AD10" s="69">
        <f t="shared" si="3"/>
        <v>-2.9187817258883197E-2</v>
      </c>
      <c r="AE10" s="68">
        <v>14.1</v>
      </c>
      <c r="AF10" s="68">
        <v>16.600000000000001</v>
      </c>
      <c r="AG10" s="73">
        <v>18.5</v>
      </c>
      <c r="AH10" s="73">
        <v>17.7</v>
      </c>
      <c r="AI10" s="73">
        <v>66.900000000000006</v>
      </c>
      <c r="AJ10" s="69">
        <f>AI10/AC10-1</f>
        <v>-0.12549019607843126</v>
      </c>
      <c r="AK10" s="68">
        <v>16.2</v>
      </c>
      <c r="AL10" s="140">
        <v>20.100000000000001</v>
      </c>
      <c r="AM10" s="140">
        <v>19.100000000000001</v>
      </c>
      <c r="AN10" s="140">
        <f>AO10-AK10-AL10-AM10</f>
        <v>16.299999999999997</v>
      </c>
      <c r="AO10" s="140">
        <v>71.7</v>
      </c>
      <c r="AP10" s="234">
        <f t="shared" si="4"/>
        <v>7.1748878923766801E-2</v>
      </c>
      <c r="AQ10" s="140">
        <v>18.2</v>
      </c>
      <c r="AR10" s="140">
        <v>18.7</v>
      </c>
      <c r="AS10" s="140">
        <v>10.4</v>
      </c>
      <c r="AT10" s="140">
        <v>8.9</v>
      </c>
      <c r="AU10" s="140">
        <v>56.2</v>
      </c>
      <c r="AV10" s="234">
        <f t="shared" si="5"/>
        <v>-0.21617852161785212</v>
      </c>
      <c r="AW10" s="140">
        <v>7.6</v>
      </c>
      <c r="AX10" s="140">
        <v>7.8</v>
      </c>
      <c r="AY10" s="140">
        <v>8.6999999999999993</v>
      </c>
      <c r="AZ10" s="140">
        <v>15.799999999999999</v>
      </c>
      <c r="BA10" s="140">
        <v>39.9</v>
      </c>
      <c r="BB10" s="234">
        <f t="shared" si="6"/>
        <v>-0.29003558718861211</v>
      </c>
      <c r="BC10" s="140">
        <v>16.034431017500442</v>
      </c>
      <c r="BD10" s="140">
        <v>13.4</v>
      </c>
      <c r="BE10" s="140">
        <v>16.055845675242942</v>
      </c>
      <c r="BF10" s="140">
        <v>14.999386997159824</v>
      </c>
      <c r="BG10" s="140">
        <v>60.457905316318957</v>
      </c>
      <c r="BH10" s="234">
        <f t="shared" si="7"/>
        <v>0.51523572221350777</v>
      </c>
      <c r="BI10" s="140">
        <v>14.394880359649393</v>
      </c>
      <c r="BJ10" s="140">
        <v>14.836625756706978</v>
      </c>
      <c r="BK10" s="140">
        <v>11.368493883643632</v>
      </c>
      <c r="BL10" s="140">
        <v>11.59</v>
      </c>
      <c r="BM10" s="140">
        <f t="shared" si="8"/>
        <v>52.19</v>
      </c>
      <c r="BN10" s="140">
        <v>9.9674034418210375</v>
      </c>
      <c r="BO10" s="357">
        <v>9.3051591150605812</v>
      </c>
      <c r="BP10" s="356">
        <f>BO10/BJ10-1</f>
        <v>-0.37282511080026848</v>
      </c>
      <c r="BR10" s="473"/>
      <c r="BS10" s="466"/>
      <c r="BT10" s="466"/>
      <c r="BU10" s="466"/>
      <c r="BV10" s="466"/>
    </row>
    <row r="11" spans="1:74" ht="12.75" customHeight="1">
      <c r="A11" s="539" t="s">
        <v>318</v>
      </c>
      <c r="B11" s="62">
        <v>2.2000000000000002</v>
      </c>
      <c r="C11" s="70"/>
      <c r="D11" s="64">
        <v>0.5</v>
      </c>
      <c r="E11" s="62">
        <v>0.6</v>
      </c>
      <c r="F11" s="62">
        <v>0.5</v>
      </c>
      <c r="G11" s="62">
        <v>0.5</v>
      </c>
      <c r="H11" s="62">
        <v>2.1</v>
      </c>
      <c r="I11" s="65">
        <f>H11/B11-1</f>
        <v>-4.5454545454545525E-2</v>
      </c>
      <c r="J11" s="78"/>
      <c r="K11" s="64">
        <v>0.3</v>
      </c>
      <c r="L11" s="62">
        <v>0.3</v>
      </c>
      <c r="M11" s="62">
        <v>0.3</v>
      </c>
      <c r="N11" s="62">
        <v>0.2</v>
      </c>
      <c r="O11" s="62">
        <v>1.1000000000000001</v>
      </c>
      <c r="P11" s="65">
        <f>O11/H11-1</f>
        <v>-0.47619047619047616</v>
      </c>
      <c r="Q11" s="66"/>
      <c r="R11" s="64">
        <v>0.2</v>
      </c>
      <c r="S11" s="62">
        <v>0.2</v>
      </c>
      <c r="T11" s="62">
        <v>0.3</v>
      </c>
      <c r="U11" s="62">
        <v>0.2</v>
      </c>
      <c r="V11" s="62">
        <v>0.9</v>
      </c>
      <c r="W11" s="65">
        <f>V11/O11-1</f>
        <v>-0.18181818181818188</v>
      </c>
      <c r="X11" s="67"/>
      <c r="Y11" s="64">
        <v>0.3</v>
      </c>
      <c r="Z11" s="71">
        <v>0.1</v>
      </c>
      <c r="AA11" s="71">
        <v>0.1</v>
      </c>
      <c r="AB11" s="71">
        <v>0.2</v>
      </c>
      <c r="AC11" s="71">
        <v>0.7</v>
      </c>
      <c r="AD11" s="69">
        <f t="shared" si="3"/>
        <v>-0.22222222222222232</v>
      </c>
      <c r="AE11" s="71">
        <v>0.1</v>
      </c>
      <c r="AF11" s="71">
        <v>0.1</v>
      </c>
      <c r="AG11" s="68">
        <v>0.1</v>
      </c>
      <c r="AH11" s="68">
        <v>0.1</v>
      </c>
      <c r="AI11" s="68">
        <v>0.4</v>
      </c>
      <c r="AJ11" s="69">
        <f>AI11/AC11-1</f>
        <v>-0.42857142857142849</v>
      </c>
      <c r="AK11" s="71">
        <v>0.1</v>
      </c>
      <c r="AL11" s="138">
        <v>0.1</v>
      </c>
      <c r="AM11" s="138">
        <v>0</v>
      </c>
      <c r="AN11" s="138">
        <f>AO11-AK11-AL11-AM11</f>
        <v>0.30000000000000004</v>
      </c>
      <c r="AO11" s="138">
        <v>0.5</v>
      </c>
      <c r="AP11" s="234">
        <f t="shared" si="4"/>
        <v>0.25</v>
      </c>
      <c r="AQ11" s="138">
        <v>0.1</v>
      </c>
      <c r="AR11" s="138">
        <v>0.1</v>
      </c>
      <c r="AS11" s="138">
        <v>0.1</v>
      </c>
      <c r="AT11" s="138">
        <v>0.1</v>
      </c>
      <c r="AU11" s="138">
        <v>0.4</v>
      </c>
      <c r="AV11" s="234">
        <f t="shared" si="5"/>
        <v>-0.19999999999999996</v>
      </c>
      <c r="AW11" s="138">
        <v>0.1</v>
      </c>
      <c r="AX11" s="138">
        <v>0.2</v>
      </c>
      <c r="AY11" s="138">
        <v>0</v>
      </c>
      <c r="AZ11" s="138">
        <v>9.8000000000000004E-2</v>
      </c>
      <c r="BA11" s="138">
        <v>0.4</v>
      </c>
      <c r="BB11" s="234">
        <f t="shared" si="6"/>
        <v>0</v>
      </c>
      <c r="BC11" s="138">
        <v>0.1</v>
      </c>
      <c r="BD11" s="138">
        <v>0.2</v>
      </c>
      <c r="BE11" s="138">
        <v>5.7883397592328967E-2</v>
      </c>
      <c r="BF11" s="138">
        <v>0</v>
      </c>
      <c r="BG11" s="138">
        <v>0.4</v>
      </c>
      <c r="BH11" s="234">
        <f t="shared" si="7"/>
        <v>0</v>
      </c>
      <c r="BI11" s="138">
        <v>0.1</v>
      </c>
      <c r="BJ11" s="138">
        <v>1.6259945024539368E-2</v>
      </c>
      <c r="BK11" s="138">
        <v>-1.6259945024539368E-2</v>
      </c>
      <c r="BL11" s="138">
        <v>0</v>
      </c>
      <c r="BM11" s="138">
        <f t="shared" si="8"/>
        <v>0.1</v>
      </c>
      <c r="BN11" s="138">
        <v>0</v>
      </c>
      <c r="BO11" s="357">
        <v>0</v>
      </c>
      <c r="BP11" s="356">
        <f>BO11/BJ11-1</f>
        <v>-1</v>
      </c>
      <c r="BR11" s="473"/>
      <c r="BS11" s="466"/>
      <c r="BT11" s="466"/>
      <c r="BU11" s="466"/>
      <c r="BV11" s="466"/>
    </row>
    <row r="12" spans="1:74" ht="12.75" customHeight="1">
      <c r="A12" s="539" t="s">
        <v>319</v>
      </c>
      <c r="B12" s="62">
        <v>95.3</v>
      </c>
      <c r="C12" s="70"/>
      <c r="D12" s="64">
        <v>22.4</v>
      </c>
      <c r="E12" s="62">
        <v>24.5</v>
      </c>
      <c r="F12" s="62">
        <v>24.6</v>
      </c>
      <c r="G12" s="62">
        <v>20.6</v>
      </c>
      <c r="H12" s="62">
        <v>92.1</v>
      </c>
      <c r="I12" s="65">
        <f>H12/B12-1</f>
        <v>-3.3578174186778664E-2</v>
      </c>
      <c r="J12" s="78"/>
      <c r="K12" s="64">
        <v>14.5</v>
      </c>
      <c r="L12" s="62">
        <v>21.3</v>
      </c>
      <c r="M12" s="62">
        <v>19.399999999999999</v>
      </c>
      <c r="N12" s="62">
        <v>18.8</v>
      </c>
      <c r="O12" s="62">
        <v>74</v>
      </c>
      <c r="P12" s="65">
        <f>O12/H12-1</f>
        <v>-0.19652551574375676</v>
      </c>
      <c r="Q12" s="66"/>
      <c r="R12" s="64">
        <v>15.8</v>
      </c>
      <c r="S12" s="62">
        <v>18.8</v>
      </c>
      <c r="T12" s="62">
        <v>16.7</v>
      </c>
      <c r="U12" s="62">
        <v>16.3</v>
      </c>
      <c r="V12" s="62">
        <v>67.599999999999994</v>
      </c>
      <c r="W12" s="65">
        <f>V12/O12-1</f>
        <v>-8.6486486486486602E-2</v>
      </c>
      <c r="X12" s="67"/>
      <c r="Y12" s="64">
        <v>17.899999999999999</v>
      </c>
      <c r="Z12" s="71">
        <v>21</v>
      </c>
      <c r="AA12" s="71">
        <v>24</v>
      </c>
      <c r="AB12" s="71">
        <v>22.3</v>
      </c>
      <c r="AC12" s="71">
        <v>85.2</v>
      </c>
      <c r="AD12" s="69">
        <f t="shared" si="3"/>
        <v>0.26035502958579904</v>
      </c>
      <c r="AE12" s="71">
        <v>17.8</v>
      </c>
      <c r="AF12" s="71">
        <v>20.399999999999999</v>
      </c>
      <c r="AG12" s="68">
        <v>16.2</v>
      </c>
      <c r="AH12" s="68">
        <v>11.7</v>
      </c>
      <c r="AI12" s="68">
        <v>66.099999999999994</v>
      </c>
      <c r="AJ12" s="69">
        <f>AI12/AC12-1</f>
        <v>-0.22417840375586862</v>
      </c>
      <c r="AK12" s="71">
        <v>12.2</v>
      </c>
      <c r="AL12" s="138">
        <v>14.1</v>
      </c>
      <c r="AM12" s="138">
        <v>13.6</v>
      </c>
      <c r="AN12" s="138">
        <f>AO12-AK12-AL12-AM12</f>
        <v>11.399999999999993</v>
      </c>
      <c r="AO12" s="138">
        <v>51.3</v>
      </c>
      <c r="AP12" s="234">
        <f t="shared" si="4"/>
        <v>-0.22390317700453854</v>
      </c>
      <c r="AQ12" s="138">
        <v>15.1</v>
      </c>
      <c r="AR12" s="138">
        <v>19.600000000000001</v>
      </c>
      <c r="AS12" s="138">
        <v>10.5</v>
      </c>
      <c r="AT12" s="138">
        <v>10.7</v>
      </c>
      <c r="AU12" s="138">
        <v>55.9</v>
      </c>
      <c r="AV12" s="234">
        <f t="shared" si="5"/>
        <v>8.9668615984405564E-2</v>
      </c>
      <c r="AW12" s="138">
        <v>9</v>
      </c>
      <c r="AX12" s="138">
        <v>9.3000000000000007</v>
      </c>
      <c r="AY12" s="138">
        <v>7.7</v>
      </c>
      <c r="AZ12" s="138">
        <v>14.599999999999998</v>
      </c>
      <c r="BA12" s="138">
        <v>40.6</v>
      </c>
      <c r="BB12" s="234">
        <f t="shared" si="6"/>
        <v>-0.27370304114490152</v>
      </c>
      <c r="BC12" s="138">
        <v>14.17943159408442</v>
      </c>
      <c r="BD12" s="138">
        <v>11.4</v>
      </c>
      <c r="BE12" s="138">
        <v>13.788240000000012</v>
      </c>
      <c r="BF12" s="138">
        <v>14.134280000000004</v>
      </c>
      <c r="BG12" s="138">
        <v>53.533041594084445</v>
      </c>
      <c r="BH12" s="234">
        <f t="shared" si="7"/>
        <v>0.31854782251439517</v>
      </c>
      <c r="BI12" s="138">
        <v>13.165230000000006</v>
      </c>
      <c r="BJ12" s="138">
        <v>12.095920000000005</v>
      </c>
      <c r="BK12" s="138">
        <v>9.0388499999999841</v>
      </c>
      <c r="BL12" s="138">
        <v>9</v>
      </c>
      <c r="BM12" s="138">
        <f t="shared" si="8"/>
        <v>43.3</v>
      </c>
      <c r="BN12" s="138">
        <v>8.2723300000000055</v>
      </c>
      <c r="BO12" s="357">
        <v>7.2285000000000021</v>
      </c>
      <c r="BP12" s="356">
        <f>BO12/BJ12-1</f>
        <v>-0.40240180159921701</v>
      </c>
      <c r="BR12" s="473"/>
      <c r="BS12" s="468"/>
      <c r="BT12" s="466"/>
      <c r="BU12" s="468"/>
      <c r="BV12" s="466"/>
    </row>
    <row r="13" spans="1:74" ht="15" customHeight="1">
      <c r="A13" s="538" t="s">
        <v>26</v>
      </c>
      <c r="B13" s="74"/>
      <c r="C13" s="75"/>
      <c r="D13" s="74"/>
      <c r="E13" s="74"/>
      <c r="F13" s="74"/>
      <c r="G13" s="74"/>
      <c r="H13" s="74"/>
      <c r="I13" s="74"/>
      <c r="J13" s="74"/>
      <c r="K13" s="74"/>
      <c r="L13" s="74"/>
      <c r="M13" s="74"/>
      <c r="N13" s="74"/>
      <c r="O13" s="74"/>
      <c r="P13" s="66"/>
      <c r="Q13" s="66"/>
      <c r="R13" s="74"/>
      <c r="S13" s="74"/>
      <c r="T13" s="74"/>
      <c r="U13" s="74"/>
      <c r="V13" s="74"/>
      <c r="W13" s="67"/>
      <c r="X13" s="67"/>
      <c r="Y13" s="74"/>
      <c r="Z13" s="74"/>
      <c r="AA13" s="74"/>
      <c r="AB13" s="79"/>
      <c r="AC13" s="79"/>
      <c r="AD13" s="59"/>
      <c r="AE13" s="79"/>
      <c r="AF13" s="59"/>
      <c r="AG13" s="59"/>
      <c r="AH13" s="59"/>
      <c r="AI13" s="59"/>
      <c r="AJ13" s="59"/>
      <c r="AK13" s="59"/>
      <c r="AL13" s="141"/>
      <c r="AM13" s="141"/>
      <c r="AN13" s="141"/>
      <c r="AO13" s="141"/>
      <c r="AP13" s="234"/>
      <c r="AQ13" s="141"/>
      <c r="AR13" s="141"/>
      <c r="AS13" s="141"/>
      <c r="AT13" s="141"/>
      <c r="AU13" s="141"/>
      <c r="AV13" s="234"/>
      <c r="AW13" s="141"/>
      <c r="AX13" s="141"/>
      <c r="AY13" s="141"/>
      <c r="AZ13" s="141"/>
      <c r="BA13" s="141"/>
      <c r="BB13" s="141"/>
      <c r="BC13" s="141"/>
      <c r="BD13" s="141"/>
      <c r="BE13" s="141"/>
      <c r="BF13" s="141"/>
      <c r="BG13" s="141"/>
      <c r="BH13" s="141"/>
      <c r="BI13" s="141"/>
      <c r="BJ13" s="141"/>
      <c r="BK13" s="141"/>
      <c r="BL13" s="141"/>
      <c r="BM13" s="141"/>
      <c r="BN13" s="141"/>
      <c r="BO13" s="369"/>
      <c r="BP13" s="369"/>
      <c r="BR13" s="473"/>
      <c r="BS13" s="466"/>
      <c r="BT13" s="466"/>
      <c r="BU13" s="466"/>
      <c r="BV13" s="466"/>
    </row>
    <row r="14" spans="1:74" ht="12.75" customHeight="1">
      <c r="A14" s="539" t="s">
        <v>317</v>
      </c>
      <c r="B14" s="76">
        <v>46.3</v>
      </c>
      <c r="C14" s="70"/>
      <c r="D14" s="64">
        <v>14.5</v>
      </c>
      <c r="E14" s="76">
        <v>12.1</v>
      </c>
      <c r="F14" s="76">
        <v>11.3</v>
      </c>
      <c r="G14" s="76">
        <v>13.6</v>
      </c>
      <c r="H14" s="76">
        <v>51.5</v>
      </c>
      <c r="I14" s="77">
        <f>H14/B14-1</f>
        <v>0.11231101511879049</v>
      </c>
      <c r="J14" s="78"/>
      <c r="K14" s="64">
        <v>14</v>
      </c>
      <c r="L14" s="76">
        <v>13.2</v>
      </c>
      <c r="M14" s="76">
        <v>12.8</v>
      </c>
      <c r="N14" s="76">
        <v>13.4</v>
      </c>
      <c r="O14" s="76">
        <v>53.4</v>
      </c>
      <c r="P14" s="77">
        <f>O14/H14-1</f>
        <v>3.689320388349504E-2</v>
      </c>
      <c r="Q14" s="66"/>
      <c r="R14" s="64">
        <v>12</v>
      </c>
      <c r="S14" s="76">
        <v>12.5</v>
      </c>
      <c r="T14" s="76">
        <v>13.6</v>
      </c>
      <c r="U14" s="76">
        <v>15.2</v>
      </c>
      <c r="V14" s="76">
        <v>53.3</v>
      </c>
      <c r="W14" s="80">
        <f>V14/O14-1</f>
        <v>-1.8726591760299671E-3</v>
      </c>
      <c r="X14" s="67"/>
      <c r="Y14" s="64">
        <v>14.7</v>
      </c>
      <c r="Z14" s="68">
        <v>14.5</v>
      </c>
      <c r="AA14" s="68">
        <v>15.2</v>
      </c>
      <c r="AB14" s="68">
        <v>15.1</v>
      </c>
      <c r="AC14" s="68">
        <v>59.5</v>
      </c>
      <c r="AD14" s="69">
        <f t="shared" si="3"/>
        <v>0.1163227016885553</v>
      </c>
      <c r="AE14" s="68">
        <v>19</v>
      </c>
      <c r="AF14" s="68">
        <v>20.2</v>
      </c>
      <c r="AG14" s="73">
        <v>20.7</v>
      </c>
      <c r="AH14" s="73">
        <v>21.9</v>
      </c>
      <c r="AI14" s="73">
        <v>81.8</v>
      </c>
      <c r="AJ14" s="69">
        <f>AI14/AC14-1</f>
        <v>0.37478991596638656</v>
      </c>
      <c r="AK14" s="68">
        <v>22.9</v>
      </c>
      <c r="AL14" s="140">
        <v>28.3</v>
      </c>
      <c r="AM14" s="140">
        <v>27.2</v>
      </c>
      <c r="AN14" s="140">
        <f>AO14-AK14-AL14-AM14</f>
        <v>26.000000000000004</v>
      </c>
      <c r="AO14" s="140">
        <v>104.4</v>
      </c>
      <c r="AP14" s="234">
        <f t="shared" si="4"/>
        <v>0.27628361858190731</v>
      </c>
      <c r="AQ14" s="140">
        <v>23.9</v>
      </c>
      <c r="AR14" s="140">
        <v>20.6</v>
      </c>
      <c r="AS14" s="140">
        <v>23.2</v>
      </c>
      <c r="AT14" s="140">
        <v>23.1</v>
      </c>
      <c r="AU14" s="140">
        <v>90.8</v>
      </c>
      <c r="AV14" s="234">
        <f t="shared" si="5"/>
        <v>-0.13026819923371658</v>
      </c>
      <c r="AW14" s="140">
        <v>18.899999999999999</v>
      </c>
      <c r="AX14" s="140">
        <v>21.2</v>
      </c>
      <c r="AY14" s="140">
        <v>19.600000000000001</v>
      </c>
      <c r="AZ14" s="140">
        <v>19.000000000000007</v>
      </c>
      <c r="BA14" s="140">
        <v>78.7</v>
      </c>
      <c r="BB14" s="234">
        <f t="shared" si="6"/>
        <v>-0.13325991189427311</v>
      </c>
      <c r="BC14" s="140">
        <v>17.004133601307498</v>
      </c>
      <c r="BD14" s="140">
        <v>18.7</v>
      </c>
      <c r="BE14" s="140">
        <v>21.4</v>
      </c>
      <c r="BF14" s="140">
        <v>23.398198189932856</v>
      </c>
      <c r="BG14" s="140">
        <v>80.536319361042047</v>
      </c>
      <c r="BH14" s="234">
        <f t="shared" si="7"/>
        <v>2.3333155794689198E-2</v>
      </c>
      <c r="BI14" s="140">
        <v>20.759553777796718</v>
      </c>
      <c r="BJ14" s="140">
        <v>21.6</v>
      </c>
      <c r="BK14" s="140">
        <v>22.540446222203286</v>
      </c>
      <c r="BL14" s="140">
        <v>21.9</v>
      </c>
      <c r="BM14" s="140">
        <f t="shared" si="8"/>
        <v>86.800000000000011</v>
      </c>
      <c r="BN14" s="140">
        <v>20.625443261439461</v>
      </c>
      <c r="BO14" s="357">
        <v>19.600000000000001</v>
      </c>
      <c r="BP14" s="356">
        <f>BO14/BJ14-1</f>
        <v>-9.259259259259256E-2</v>
      </c>
      <c r="BR14" s="473"/>
    </row>
    <row r="15" spans="1:74" ht="12.75" customHeight="1">
      <c r="A15" s="539" t="s">
        <v>320</v>
      </c>
      <c r="B15" s="62">
        <v>8.1</v>
      </c>
      <c r="C15" s="70"/>
      <c r="D15" s="64">
        <v>4.9000000000000004</v>
      </c>
      <c r="E15" s="62">
        <v>2</v>
      </c>
      <c r="F15" s="62">
        <v>2.5</v>
      </c>
      <c r="G15" s="62">
        <v>2.9</v>
      </c>
      <c r="H15" s="62">
        <v>12.2</v>
      </c>
      <c r="I15" s="65">
        <f>H15/B15-1</f>
        <v>0.50617283950617287</v>
      </c>
      <c r="J15" s="78"/>
      <c r="K15" s="64">
        <v>4.8</v>
      </c>
      <c r="L15" s="62">
        <v>8.1999999999999993</v>
      </c>
      <c r="M15" s="62">
        <v>3.4</v>
      </c>
      <c r="N15" s="62">
        <v>3.3</v>
      </c>
      <c r="O15" s="62">
        <v>19.7</v>
      </c>
      <c r="P15" s="65">
        <f>O15/H15-1</f>
        <v>0.61475409836065587</v>
      </c>
      <c r="Q15" s="66"/>
      <c r="R15" s="64">
        <v>4</v>
      </c>
      <c r="S15" s="62">
        <v>3.7</v>
      </c>
      <c r="T15" s="62">
        <v>3</v>
      </c>
      <c r="U15" s="62">
        <v>4</v>
      </c>
      <c r="V15" s="62">
        <v>14.7</v>
      </c>
      <c r="W15" s="65">
        <f>V15/O15-1</f>
        <v>-0.25380710659898476</v>
      </c>
      <c r="X15" s="67"/>
      <c r="Y15" s="64">
        <v>3</v>
      </c>
      <c r="Z15" s="71">
        <v>2.7</v>
      </c>
      <c r="AA15" s="71">
        <v>2.5</v>
      </c>
      <c r="AB15" s="71">
        <v>3</v>
      </c>
      <c r="AC15" s="71">
        <v>11.2</v>
      </c>
      <c r="AD15" s="69">
        <f t="shared" si="3"/>
        <v>-0.23809523809523814</v>
      </c>
      <c r="AE15" s="71">
        <v>1.6</v>
      </c>
      <c r="AF15" s="71">
        <v>3.4</v>
      </c>
      <c r="AG15" s="68">
        <v>1.9</v>
      </c>
      <c r="AH15" s="68">
        <v>2.1</v>
      </c>
      <c r="AI15" s="68">
        <v>9</v>
      </c>
      <c r="AJ15" s="69">
        <f>AI15/AC15-1</f>
        <v>-0.1964285714285714</v>
      </c>
      <c r="AK15" s="71">
        <v>1.9</v>
      </c>
      <c r="AL15" s="138">
        <v>2.7</v>
      </c>
      <c r="AM15" s="138">
        <v>2.4</v>
      </c>
      <c r="AN15" s="138">
        <f>AO15-AK15-AL15-AM15</f>
        <v>1.1999999999999988</v>
      </c>
      <c r="AO15" s="138">
        <v>8.1999999999999993</v>
      </c>
      <c r="AP15" s="234">
        <f t="shared" si="4"/>
        <v>-8.8888888888889017E-2</v>
      </c>
      <c r="AQ15" s="138">
        <v>1.2</v>
      </c>
      <c r="AR15" s="138">
        <v>0.7</v>
      </c>
      <c r="AS15" s="138">
        <v>0.5</v>
      </c>
      <c r="AT15" s="138">
        <v>0.5</v>
      </c>
      <c r="AU15" s="138">
        <v>2.9</v>
      </c>
      <c r="AV15" s="234">
        <f t="shared" si="5"/>
        <v>-0.64634146341463405</v>
      </c>
      <c r="AW15" s="138">
        <v>1</v>
      </c>
      <c r="AX15" s="138">
        <v>1.1000000000000001</v>
      </c>
      <c r="AY15" s="138">
        <v>1</v>
      </c>
      <c r="AZ15" s="138">
        <v>0.39999999999999991</v>
      </c>
      <c r="BA15" s="138">
        <v>3.5</v>
      </c>
      <c r="BB15" s="234">
        <f t="shared" si="6"/>
        <v>0.2068965517241379</v>
      </c>
      <c r="BC15" s="138">
        <v>0.5</v>
      </c>
      <c r="BD15" s="138">
        <v>0.4</v>
      </c>
      <c r="BE15" s="138">
        <v>1.1000000000000001</v>
      </c>
      <c r="BF15" s="138">
        <v>1.2690019432095876</v>
      </c>
      <c r="BG15" s="138">
        <v>3.2843448732221954</v>
      </c>
      <c r="BH15" s="234">
        <f t="shared" si="7"/>
        <v>-6.1615750507944211E-2</v>
      </c>
      <c r="BI15" s="138">
        <v>0.5</v>
      </c>
      <c r="BJ15" s="138">
        <v>1.1916299682835654</v>
      </c>
      <c r="BK15" s="138">
        <v>2.2683700317164348</v>
      </c>
      <c r="BL15" s="138">
        <v>1</v>
      </c>
      <c r="BM15" s="138">
        <f t="shared" si="8"/>
        <v>4.96</v>
      </c>
      <c r="BN15" s="138">
        <v>0.91086582883637424</v>
      </c>
      <c r="BO15" s="357">
        <v>0.87782926814512807</v>
      </c>
      <c r="BP15" s="356">
        <f>BO15/BJ15-1</f>
        <v>-0.26333736855446721</v>
      </c>
      <c r="BR15" s="473"/>
    </row>
    <row r="16" spans="1:74" ht="12.75" customHeight="1">
      <c r="A16" s="539" t="s">
        <v>321</v>
      </c>
      <c r="B16" s="62">
        <v>22.8</v>
      </c>
      <c r="C16" s="70"/>
      <c r="D16" s="64">
        <v>7.1</v>
      </c>
      <c r="E16" s="62">
        <v>4.2</v>
      </c>
      <c r="F16" s="62">
        <v>4</v>
      </c>
      <c r="G16" s="62">
        <v>7.5</v>
      </c>
      <c r="H16" s="62">
        <v>22.9</v>
      </c>
      <c r="I16" s="65">
        <f>H16/B16-1</f>
        <v>4.3859649122806044E-3</v>
      </c>
      <c r="J16" s="78"/>
      <c r="K16" s="64">
        <v>6.3</v>
      </c>
      <c r="L16" s="62">
        <v>7.2</v>
      </c>
      <c r="M16" s="62">
        <v>8.4</v>
      </c>
      <c r="N16" s="62">
        <v>6.1</v>
      </c>
      <c r="O16" s="62">
        <v>28</v>
      </c>
      <c r="P16" s="65">
        <f>O16/H16-1</f>
        <v>0.22270742358078621</v>
      </c>
      <c r="Q16" s="66"/>
      <c r="R16" s="64">
        <v>4.5999999999999996</v>
      </c>
      <c r="S16" s="62">
        <v>4.7</v>
      </c>
      <c r="T16" s="62">
        <v>6.5</v>
      </c>
      <c r="U16" s="62">
        <v>7.4</v>
      </c>
      <c r="V16" s="62">
        <v>23.2</v>
      </c>
      <c r="W16" s="65">
        <f>V16/O16-1</f>
        <v>-0.17142857142857149</v>
      </c>
      <c r="X16" s="67"/>
      <c r="Y16" s="64">
        <v>7.4</v>
      </c>
      <c r="Z16" s="71">
        <v>7.1</v>
      </c>
      <c r="AA16" s="71">
        <v>8.3000000000000007</v>
      </c>
      <c r="AB16" s="71">
        <v>8.4</v>
      </c>
      <c r="AC16" s="71">
        <v>31.2</v>
      </c>
      <c r="AD16" s="69">
        <f t="shared" si="3"/>
        <v>0.34482758620689657</v>
      </c>
      <c r="AE16" s="71">
        <v>8.5</v>
      </c>
      <c r="AF16" s="71">
        <v>7.7</v>
      </c>
      <c r="AG16" s="68">
        <v>7.6</v>
      </c>
      <c r="AH16" s="68">
        <v>7.6</v>
      </c>
      <c r="AI16" s="68">
        <v>31.4</v>
      </c>
      <c r="AJ16" s="69">
        <f>AI16/AC16-1</f>
        <v>6.4102564102563875E-3</v>
      </c>
      <c r="AK16" s="71">
        <v>6.6</v>
      </c>
      <c r="AL16" s="138">
        <v>7.7</v>
      </c>
      <c r="AM16" s="138">
        <v>8.6</v>
      </c>
      <c r="AN16" s="138">
        <f>AO16-AK16-AL16-AM16</f>
        <v>7.9999999999999982</v>
      </c>
      <c r="AO16" s="138">
        <v>30.9</v>
      </c>
      <c r="AP16" s="234">
        <f t="shared" si="4"/>
        <v>-1.5923566878980888E-2</v>
      </c>
      <c r="AQ16" s="138">
        <v>6.6</v>
      </c>
      <c r="AR16" s="138">
        <v>9</v>
      </c>
      <c r="AS16" s="138">
        <v>9.6</v>
      </c>
      <c r="AT16" s="138">
        <v>9.1</v>
      </c>
      <c r="AU16" s="138">
        <v>34.299999999999997</v>
      </c>
      <c r="AV16" s="234">
        <f t="shared" si="5"/>
        <v>0.11003236245954695</v>
      </c>
      <c r="AW16" s="138">
        <v>7.5</v>
      </c>
      <c r="AX16" s="138">
        <v>9</v>
      </c>
      <c r="AY16" s="138">
        <v>7.7</v>
      </c>
      <c r="AZ16" s="138">
        <v>8.6999999999999993</v>
      </c>
      <c r="BA16" s="138">
        <v>32.9</v>
      </c>
      <c r="BB16" s="234">
        <f t="shared" si="6"/>
        <v>-4.0816326530612179E-2</v>
      </c>
      <c r="BC16" s="138">
        <v>6.5</v>
      </c>
      <c r="BD16" s="138">
        <v>7.2</v>
      </c>
      <c r="BE16" s="138">
        <v>9.4</v>
      </c>
      <c r="BF16" s="138">
        <v>9.9</v>
      </c>
      <c r="BG16" s="138">
        <v>33.1</v>
      </c>
      <c r="BH16" s="234">
        <f t="shared" si="7"/>
        <v>6.0790273556232677E-3</v>
      </c>
      <c r="BI16" s="138">
        <v>7</v>
      </c>
      <c r="BJ16" s="138">
        <v>7.738271233679419</v>
      </c>
      <c r="BK16" s="138">
        <v>7.6617287663205795</v>
      </c>
      <c r="BL16" s="138">
        <v>5.7</v>
      </c>
      <c r="BM16" s="138">
        <f t="shared" si="8"/>
        <v>28.099999999999998</v>
      </c>
      <c r="BN16" s="138">
        <v>4.5076344500000038</v>
      </c>
      <c r="BO16" s="357">
        <v>4.8</v>
      </c>
      <c r="BP16" s="356">
        <f>BO16/BJ16-1</f>
        <v>-0.3797064156773321</v>
      </c>
      <c r="BR16" s="473"/>
    </row>
    <row r="17" spans="1:68" ht="12.75" customHeight="1">
      <c r="A17"/>
      <c r="AI17" s="81"/>
    </row>
    <row r="18" spans="1:68" ht="12" customHeight="1">
      <c r="A18" s="540" t="s">
        <v>322</v>
      </c>
      <c r="AW18" s="323"/>
      <c r="AX18" s="323"/>
      <c r="AY18" s="323"/>
      <c r="AZ18" s="323"/>
      <c r="BA18" s="323"/>
      <c r="BB18" s="323"/>
      <c r="BC18" s="323"/>
      <c r="BD18" s="323"/>
      <c r="BE18" s="323"/>
      <c r="BF18" s="323"/>
      <c r="BG18" s="323"/>
      <c r="BH18" s="323"/>
      <c r="BI18" s="323"/>
      <c r="BJ18" s="323"/>
      <c r="BK18" s="323"/>
      <c r="BL18" s="323"/>
      <c r="BM18" s="323"/>
      <c r="BN18" s="323"/>
      <c r="BO18" s="323"/>
      <c r="BP18" s="323"/>
    </row>
    <row r="19" spans="1:68" ht="12" customHeight="1">
      <c r="A19" s="540" t="s">
        <v>323</v>
      </c>
    </row>
    <row r="20" spans="1:68" ht="12" customHeight="1">
      <c r="A20" s="541" t="s">
        <v>324</v>
      </c>
    </row>
    <row r="21" spans="1:68" ht="12.75" customHeight="1">
      <c r="A21" s="542" t="s">
        <v>325</v>
      </c>
    </row>
  </sheetData>
  <pageMargins left="0.70866141732283472" right="0.70866141732283472" top="0.74803149606299213" bottom="0.74803149606299213" header="0.31496062992125984" footer="0.31496062992125984"/>
  <pageSetup paperSize="8" scale="3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8619-87A6-4CCD-913C-5D9ECFBE7E90}">
  <dimension ref="A1:CY28"/>
  <sheetViews>
    <sheetView showGridLines="0" zoomScale="136" zoomScaleNormal="136" workbookViewId="0">
      <pane xSplit="1" topLeftCell="CO1" activePane="topRight" state="frozen"/>
      <selection pane="topRight" activeCell="DB17" sqref="DB17"/>
    </sheetView>
  </sheetViews>
  <sheetFormatPr defaultColWidth="9.42578125" defaultRowHeight="12.75"/>
  <cols>
    <col min="1" max="1" width="30.5703125" style="86" customWidth="1"/>
    <col min="2" max="39" width="7.42578125" style="86" customWidth="1"/>
    <col min="40" max="44" width="7.5703125" style="86" customWidth="1"/>
    <col min="45" max="45" width="8.42578125" style="86" customWidth="1"/>
    <col min="46" max="70" width="9.42578125" style="86"/>
    <col min="71" max="71" width="9.5703125" style="86" customWidth="1"/>
    <col min="72" max="72" width="8.5703125" style="86" customWidth="1"/>
    <col min="73" max="86" width="9.42578125" style="86"/>
    <col min="87" max="103" width="9.42578125" style="371"/>
    <col min="104" max="16384" width="9.42578125" style="86"/>
  </cols>
  <sheetData>
    <row r="1" spans="1:103" s="82" customFormat="1" ht="75">
      <c r="A1" s="529" t="s">
        <v>336</v>
      </c>
      <c r="B1" s="545">
        <v>43101</v>
      </c>
      <c r="C1" s="545">
        <v>43132</v>
      </c>
      <c r="D1" s="545">
        <v>43160</v>
      </c>
      <c r="E1" s="545">
        <v>43191</v>
      </c>
      <c r="F1" s="545">
        <v>43221</v>
      </c>
      <c r="G1" s="545">
        <v>43252</v>
      </c>
      <c r="H1" s="545">
        <v>43282</v>
      </c>
      <c r="I1" s="545">
        <v>43313</v>
      </c>
      <c r="J1" s="545">
        <v>43344</v>
      </c>
      <c r="K1" s="545">
        <v>43374</v>
      </c>
      <c r="L1" s="545">
        <v>43405</v>
      </c>
      <c r="M1" s="545">
        <v>43435</v>
      </c>
      <c r="N1" s="545">
        <v>43466</v>
      </c>
      <c r="O1" s="545">
        <v>43497</v>
      </c>
      <c r="P1" s="545">
        <v>43525</v>
      </c>
      <c r="Q1" s="545">
        <v>43556</v>
      </c>
      <c r="R1" s="545">
        <v>43586</v>
      </c>
      <c r="S1" s="545">
        <v>43617</v>
      </c>
      <c r="T1" s="545">
        <v>43647</v>
      </c>
      <c r="U1" s="545">
        <v>43678</v>
      </c>
      <c r="V1" s="545">
        <v>43709</v>
      </c>
      <c r="W1" s="545">
        <v>43740</v>
      </c>
      <c r="X1" s="545" t="s">
        <v>343</v>
      </c>
      <c r="Y1" s="545" t="s">
        <v>344</v>
      </c>
      <c r="Z1" s="545" t="s">
        <v>345</v>
      </c>
      <c r="AA1" s="545">
        <v>43862</v>
      </c>
      <c r="AB1" s="545">
        <v>43891</v>
      </c>
      <c r="AC1" s="125" t="s">
        <v>346</v>
      </c>
      <c r="AD1" s="125" t="s">
        <v>347</v>
      </c>
      <c r="AE1" s="125" t="s">
        <v>348</v>
      </c>
      <c r="AF1" s="125" t="s">
        <v>349</v>
      </c>
      <c r="AG1" s="125" t="s">
        <v>350</v>
      </c>
      <c r="AH1" s="125" t="s">
        <v>351</v>
      </c>
      <c r="AI1" s="545" t="s">
        <v>352</v>
      </c>
      <c r="AJ1" s="545" t="s">
        <v>353</v>
      </c>
      <c r="AK1" s="545" t="s">
        <v>354</v>
      </c>
      <c r="AL1" s="545" t="s">
        <v>355</v>
      </c>
      <c r="AM1" s="545" t="s">
        <v>356</v>
      </c>
      <c r="AN1" s="545">
        <v>44256</v>
      </c>
      <c r="AO1" s="125" t="s">
        <v>357</v>
      </c>
      <c r="AP1" s="125" t="s">
        <v>358</v>
      </c>
      <c r="AQ1" s="125" t="s">
        <v>359</v>
      </c>
      <c r="AR1" s="125" t="s">
        <v>360</v>
      </c>
      <c r="AS1" s="125" t="s">
        <v>361</v>
      </c>
      <c r="AT1" s="125" t="s">
        <v>362</v>
      </c>
      <c r="AU1" s="125" t="s">
        <v>363</v>
      </c>
      <c r="AV1" s="125" t="s">
        <v>364</v>
      </c>
      <c r="AW1" s="125" t="s">
        <v>365</v>
      </c>
      <c r="AX1" s="125" t="s">
        <v>366</v>
      </c>
      <c r="AY1" s="125" t="s">
        <v>367</v>
      </c>
      <c r="AZ1" s="545">
        <v>44621</v>
      </c>
      <c r="BA1" s="125" t="s">
        <v>368</v>
      </c>
      <c r="BB1" s="125" t="s">
        <v>369</v>
      </c>
      <c r="BC1" s="125" t="s">
        <v>370</v>
      </c>
      <c r="BD1" s="125" t="s">
        <v>371</v>
      </c>
      <c r="BE1" s="125" t="s">
        <v>372</v>
      </c>
      <c r="BF1" s="125" t="s">
        <v>373</v>
      </c>
      <c r="BG1" s="125" t="s">
        <v>374</v>
      </c>
      <c r="BH1" s="125" t="s">
        <v>375</v>
      </c>
      <c r="BI1" s="125" t="s">
        <v>376</v>
      </c>
      <c r="BJ1" s="125" t="s">
        <v>377</v>
      </c>
      <c r="BK1" s="125" t="s">
        <v>378</v>
      </c>
      <c r="BL1" s="545">
        <v>44986</v>
      </c>
      <c r="BM1" s="545" t="s">
        <v>379</v>
      </c>
      <c r="BN1" s="125" t="s">
        <v>380</v>
      </c>
      <c r="BO1" s="125" t="s">
        <v>381</v>
      </c>
      <c r="BP1" s="125" t="s">
        <v>382</v>
      </c>
      <c r="BQ1" s="125" t="s">
        <v>383</v>
      </c>
      <c r="BR1" s="125" t="s">
        <v>384</v>
      </c>
      <c r="BS1" s="125" t="s">
        <v>385</v>
      </c>
      <c r="BT1" s="125" t="s">
        <v>386</v>
      </c>
      <c r="BU1" s="125" t="s">
        <v>387</v>
      </c>
      <c r="BV1" s="125" t="s">
        <v>388</v>
      </c>
      <c r="BW1" s="125" t="s">
        <v>389</v>
      </c>
      <c r="BX1" s="546" t="s">
        <v>390</v>
      </c>
      <c r="BY1" s="545" t="s">
        <v>391</v>
      </c>
      <c r="BZ1" s="125" t="s">
        <v>392</v>
      </c>
      <c r="CA1" s="125" t="s">
        <v>393</v>
      </c>
      <c r="CB1" s="125" t="s">
        <v>394</v>
      </c>
      <c r="CC1" s="125" t="s">
        <v>395</v>
      </c>
      <c r="CD1" s="125" t="s">
        <v>396</v>
      </c>
      <c r="CE1" s="125" t="s">
        <v>397</v>
      </c>
      <c r="CF1" s="125" t="s">
        <v>398</v>
      </c>
      <c r="CG1" s="125" t="s">
        <v>399</v>
      </c>
      <c r="CH1" s="125" t="s">
        <v>400</v>
      </c>
      <c r="CI1" s="125" t="s">
        <v>401</v>
      </c>
      <c r="CJ1" s="547" t="s">
        <v>402</v>
      </c>
      <c r="CK1" s="547" t="s">
        <v>403</v>
      </c>
      <c r="CL1" s="547" t="s">
        <v>404</v>
      </c>
      <c r="CM1" s="547" t="s">
        <v>405</v>
      </c>
      <c r="CN1" s="547" t="s">
        <v>406</v>
      </c>
      <c r="CO1" s="547" t="s">
        <v>407</v>
      </c>
      <c r="CP1" s="547" t="s">
        <v>408</v>
      </c>
      <c r="CQ1" s="125" t="s">
        <v>409</v>
      </c>
      <c r="CR1" s="125" t="s">
        <v>410</v>
      </c>
      <c r="CS1" s="125" t="s">
        <v>411</v>
      </c>
      <c r="CT1" s="125" t="s">
        <v>412</v>
      </c>
      <c r="CU1" s="125" t="s">
        <v>413</v>
      </c>
      <c r="CV1" s="547" t="s">
        <v>414</v>
      </c>
      <c r="CW1" s="547" t="s">
        <v>415</v>
      </c>
      <c r="CX1" s="125" t="s">
        <v>416</v>
      </c>
      <c r="CY1" s="125" t="s">
        <v>417</v>
      </c>
    </row>
    <row r="2" spans="1:103" ht="16.5" customHeight="1">
      <c r="A2" s="538" t="s">
        <v>337</v>
      </c>
      <c r="B2" s="84"/>
      <c r="C2" s="84"/>
      <c r="D2" s="84"/>
      <c r="E2" s="85"/>
      <c r="F2" s="85"/>
      <c r="G2" s="85"/>
      <c r="H2" s="85"/>
      <c r="I2" s="85"/>
      <c r="J2" s="85"/>
      <c r="K2" s="85"/>
      <c r="L2" s="85"/>
      <c r="M2" s="85"/>
      <c r="N2" s="85"/>
      <c r="O2" s="85"/>
      <c r="P2" s="85"/>
      <c r="Q2" s="85"/>
      <c r="R2" s="85"/>
      <c r="S2" s="85"/>
      <c r="T2" s="85"/>
      <c r="U2" s="85"/>
      <c r="V2" s="85"/>
    </row>
    <row r="3" spans="1:103">
      <c r="A3" s="543" t="s">
        <v>175</v>
      </c>
      <c r="B3" s="87">
        <v>48.7</v>
      </c>
      <c r="C3" s="87">
        <v>45.5</v>
      </c>
      <c r="D3" s="87">
        <v>48.9</v>
      </c>
      <c r="E3" s="87">
        <v>47.7</v>
      </c>
      <c r="F3" s="87">
        <v>53.5</v>
      </c>
      <c r="G3" s="87">
        <v>50.6</v>
      </c>
      <c r="H3" s="87">
        <v>55.9</v>
      </c>
      <c r="I3" s="87">
        <v>57.3</v>
      </c>
      <c r="J3" s="87">
        <v>57.4</v>
      </c>
      <c r="K3" s="87">
        <v>56.7</v>
      </c>
      <c r="L3" s="87">
        <v>54.2</v>
      </c>
      <c r="M3" s="87">
        <v>57.7</v>
      </c>
      <c r="N3" s="87">
        <v>58.7</v>
      </c>
      <c r="O3" s="87">
        <v>53.8</v>
      </c>
      <c r="P3" s="87">
        <v>60.3</v>
      </c>
      <c r="Q3" s="88">
        <v>58.6</v>
      </c>
      <c r="R3" s="88">
        <v>61.9</v>
      </c>
      <c r="S3" s="88">
        <v>58.7</v>
      </c>
      <c r="T3" s="88">
        <v>59.8</v>
      </c>
      <c r="U3" s="88">
        <v>59.2</v>
      </c>
      <c r="V3" s="88">
        <v>58.6</v>
      </c>
      <c r="W3" s="88">
        <v>56.3</v>
      </c>
      <c r="X3" s="88">
        <v>56.4</v>
      </c>
      <c r="Y3" s="88">
        <v>59.3</v>
      </c>
      <c r="Z3" s="88">
        <v>58.4</v>
      </c>
      <c r="AA3" s="88">
        <v>55.3</v>
      </c>
      <c r="AB3" s="88">
        <v>60.4</v>
      </c>
      <c r="AC3" s="88">
        <v>56.5</v>
      </c>
      <c r="AD3" s="68">
        <v>60</v>
      </c>
      <c r="AE3" s="88">
        <v>60.1</v>
      </c>
      <c r="AF3" s="88">
        <v>57.5</v>
      </c>
      <c r="AG3" s="68">
        <v>57.9</v>
      </c>
      <c r="AH3" s="88">
        <v>54.9</v>
      </c>
      <c r="AI3" s="87">
        <v>61.1</v>
      </c>
      <c r="AJ3" s="87">
        <v>62.4</v>
      </c>
      <c r="AK3" s="87">
        <v>64.5</v>
      </c>
      <c r="AL3" s="87">
        <v>61.7</v>
      </c>
      <c r="AM3" s="89">
        <v>58</v>
      </c>
      <c r="AN3" s="89">
        <v>65.8</v>
      </c>
      <c r="AO3" s="89">
        <v>64.7</v>
      </c>
      <c r="AP3" s="89">
        <v>65.3</v>
      </c>
      <c r="AQ3" s="89">
        <v>65</v>
      </c>
      <c r="AR3" s="89">
        <v>64.900000000000006</v>
      </c>
      <c r="AS3" s="89">
        <v>64.599999999999994</v>
      </c>
      <c r="AT3" s="89">
        <v>63.7</v>
      </c>
      <c r="AU3" s="89">
        <v>61.7</v>
      </c>
      <c r="AV3" s="89">
        <v>60.5</v>
      </c>
      <c r="AW3" s="89">
        <v>57.6</v>
      </c>
      <c r="AX3" s="89">
        <v>67.400000000000006</v>
      </c>
      <c r="AY3" s="89">
        <v>62</v>
      </c>
      <c r="AZ3" s="89">
        <v>63.9</v>
      </c>
      <c r="BA3" s="89">
        <v>62</v>
      </c>
      <c r="BB3" s="89">
        <v>64.3</v>
      </c>
      <c r="BC3" s="89">
        <v>58.1</v>
      </c>
      <c r="BD3" s="89">
        <v>60</v>
      </c>
      <c r="BE3" s="89">
        <v>60.3</v>
      </c>
      <c r="BF3" s="89">
        <v>59.5</v>
      </c>
      <c r="BG3" s="89">
        <v>60.7</v>
      </c>
      <c r="BH3" s="89">
        <v>59.1</v>
      </c>
      <c r="BI3" s="89">
        <v>55.7</v>
      </c>
      <c r="BJ3" s="89">
        <v>59.3</v>
      </c>
      <c r="BK3" s="89">
        <v>53.7</v>
      </c>
      <c r="BL3" s="89">
        <v>62.7</v>
      </c>
      <c r="BM3" s="89">
        <v>57</v>
      </c>
      <c r="BN3" s="89">
        <v>59.7</v>
      </c>
      <c r="BO3" s="89">
        <v>59</v>
      </c>
      <c r="BP3" s="89">
        <v>57.6</v>
      </c>
      <c r="BQ3" s="89">
        <v>58.9</v>
      </c>
      <c r="BR3" s="89">
        <v>59.4</v>
      </c>
      <c r="BS3" s="89">
        <v>58.7</v>
      </c>
      <c r="BT3" s="89">
        <v>60.5</v>
      </c>
      <c r="BU3" s="89">
        <v>64.400000000000006</v>
      </c>
      <c r="BV3" s="89">
        <v>59.9</v>
      </c>
      <c r="BW3" s="89">
        <v>57.6</v>
      </c>
      <c r="BX3" s="89">
        <v>61.7</v>
      </c>
      <c r="BY3" s="89">
        <v>58.1</v>
      </c>
      <c r="BZ3" s="89">
        <v>61.9</v>
      </c>
      <c r="CA3" s="89">
        <v>58.3</v>
      </c>
      <c r="CB3" s="89">
        <v>61.4</v>
      </c>
      <c r="CC3" s="89">
        <v>63.4</v>
      </c>
      <c r="CD3" s="89">
        <v>61.4</v>
      </c>
      <c r="CE3" s="89">
        <v>61.5</v>
      </c>
      <c r="CF3" s="89">
        <v>61.5</v>
      </c>
      <c r="CG3" s="89">
        <v>62.8</v>
      </c>
      <c r="CH3" s="89">
        <v>58.9</v>
      </c>
      <c r="CI3" s="89">
        <v>51.1</v>
      </c>
      <c r="CJ3" s="89">
        <v>59.2</v>
      </c>
      <c r="CK3" s="89">
        <v>57.9</v>
      </c>
      <c r="CL3" s="89">
        <v>59.5</v>
      </c>
      <c r="CM3" s="89">
        <v>57.5</v>
      </c>
      <c r="CN3" s="89">
        <v>59.9</v>
      </c>
      <c r="CO3" s="89">
        <v>62.5</v>
      </c>
      <c r="CP3" s="89">
        <v>60.1</v>
      </c>
      <c r="CQ3" s="89">
        <v>60.7</v>
      </c>
      <c r="CR3" s="89">
        <v>60.3</v>
      </c>
      <c r="CS3" s="89">
        <v>62.6</v>
      </c>
      <c r="CT3" s="89">
        <v>60.5</v>
      </c>
      <c r="CU3" s="89">
        <v>53.8</v>
      </c>
      <c r="CV3" s="89">
        <v>61.6</v>
      </c>
      <c r="CW3" s="89">
        <v>57.3</v>
      </c>
      <c r="CX3" s="89">
        <v>58.5</v>
      </c>
      <c r="CY3" s="89">
        <v>59.3</v>
      </c>
    </row>
    <row r="4" spans="1:103">
      <c r="A4" s="543" t="s">
        <v>338</v>
      </c>
      <c r="B4" s="87">
        <v>85.9</v>
      </c>
      <c r="C4" s="87">
        <v>71.5</v>
      </c>
      <c r="D4" s="87">
        <v>85.3</v>
      </c>
      <c r="E4" s="87">
        <v>87.8</v>
      </c>
      <c r="F4" s="87">
        <v>101.5</v>
      </c>
      <c r="G4" s="87">
        <v>52.8</v>
      </c>
      <c r="H4" s="87">
        <v>109.3</v>
      </c>
      <c r="I4" s="87">
        <v>128.6</v>
      </c>
      <c r="J4" s="87">
        <v>124</v>
      </c>
      <c r="K4" s="87">
        <v>120.8</v>
      </c>
      <c r="L4" s="87">
        <v>113.7</v>
      </c>
      <c r="M4" s="87">
        <v>122.1</v>
      </c>
      <c r="N4" s="89">
        <v>76</v>
      </c>
      <c r="O4" s="87">
        <v>119.9</v>
      </c>
      <c r="P4" s="87">
        <v>128.69999999999999</v>
      </c>
      <c r="Q4" s="88">
        <v>127.9</v>
      </c>
      <c r="R4" s="88">
        <v>133.5</v>
      </c>
      <c r="S4" s="88">
        <v>125.6</v>
      </c>
      <c r="T4" s="88">
        <v>74.7</v>
      </c>
      <c r="U4" s="88">
        <v>122.1</v>
      </c>
      <c r="V4" s="88">
        <v>120.4</v>
      </c>
      <c r="W4" s="88">
        <v>124.7</v>
      </c>
      <c r="X4" s="88">
        <v>131.9</v>
      </c>
      <c r="Y4" s="88">
        <v>129.30000000000001</v>
      </c>
      <c r="Z4" s="68">
        <v>83</v>
      </c>
      <c r="AA4" s="88">
        <v>125.2</v>
      </c>
      <c r="AB4" s="88">
        <v>126.7</v>
      </c>
      <c r="AC4" s="88">
        <v>125.2</v>
      </c>
      <c r="AD4" s="88">
        <v>127.6</v>
      </c>
      <c r="AE4" s="88">
        <v>119.9</v>
      </c>
      <c r="AF4" s="88">
        <v>108.7</v>
      </c>
      <c r="AG4" s="88">
        <v>58.6</v>
      </c>
      <c r="AH4" s="88">
        <v>121</v>
      </c>
      <c r="AI4" s="87">
        <v>125.4</v>
      </c>
      <c r="AJ4" s="87">
        <v>104.4</v>
      </c>
      <c r="AK4" s="87">
        <v>125.8</v>
      </c>
      <c r="AL4" s="87">
        <v>117.8</v>
      </c>
      <c r="AM4" s="87">
        <v>99.4</v>
      </c>
      <c r="AN4" s="87">
        <v>89.6</v>
      </c>
      <c r="AO4" s="87">
        <v>121.7</v>
      </c>
      <c r="AP4" s="87">
        <v>129.9</v>
      </c>
      <c r="AQ4" s="87">
        <v>117.6</v>
      </c>
      <c r="AR4" s="87">
        <v>115.7</v>
      </c>
      <c r="AS4" s="87">
        <v>109.5</v>
      </c>
      <c r="AT4" s="87">
        <v>106.3</v>
      </c>
      <c r="AU4" s="87">
        <v>95.7</v>
      </c>
      <c r="AV4" s="87">
        <v>131.80000000000001</v>
      </c>
      <c r="AW4" s="89">
        <v>131</v>
      </c>
      <c r="AX4" s="87">
        <v>122.3</v>
      </c>
      <c r="AY4" s="87">
        <v>106.8</v>
      </c>
      <c r="AZ4" s="87">
        <v>118.6</v>
      </c>
      <c r="BA4" s="89">
        <v>86</v>
      </c>
      <c r="BB4" s="87">
        <v>126.3</v>
      </c>
      <c r="BC4" s="87">
        <v>123.4</v>
      </c>
      <c r="BD4" s="87">
        <v>119.9</v>
      </c>
      <c r="BE4" s="87">
        <v>113.9</v>
      </c>
      <c r="BF4" s="89">
        <v>105</v>
      </c>
      <c r="BG4" s="89">
        <v>117.8</v>
      </c>
      <c r="BH4" s="89">
        <v>67.400000000000006</v>
      </c>
      <c r="BI4" s="89">
        <v>120</v>
      </c>
      <c r="BJ4" s="89">
        <v>128</v>
      </c>
      <c r="BK4" s="89">
        <v>122.2</v>
      </c>
      <c r="BL4" s="89">
        <v>130.69999999999999</v>
      </c>
      <c r="BM4" s="89">
        <v>126.5</v>
      </c>
      <c r="BN4" s="89">
        <v>123.8</v>
      </c>
      <c r="BO4" s="89">
        <v>80.5</v>
      </c>
      <c r="BP4" s="89">
        <v>129.9</v>
      </c>
      <c r="BQ4" s="89">
        <v>130.80000000000001</v>
      </c>
      <c r="BR4" s="89">
        <v>126.5</v>
      </c>
      <c r="BS4" s="89">
        <v>119.7</v>
      </c>
      <c r="BT4" s="89">
        <v>107</v>
      </c>
      <c r="BU4" s="89">
        <v>102.7</v>
      </c>
      <c r="BV4" s="89">
        <v>74.8</v>
      </c>
      <c r="BW4" s="89">
        <v>113.6</v>
      </c>
      <c r="BX4" s="89">
        <v>127.8</v>
      </c>
      <c r="BY4" s="89">
        <v>117.7</v>
      </c>
      <c r="BZ4" s="89">
        <v>119.1</v>
      </c>
      <c r="CA4" s="89">
        <v>125.4</v>
      </c>
      <c r="CB4" s="89">
        <v>114.5</v>
      </c>
      <c r="CC4" s="89">
        <v>75.099999999999994</v>
      </c>
      <c r="CD4" s="89">
        <v>113</v>
      </c>
      <c r="CE4" s="89">
        <v>118.3</v>
      </c>
      <c r="CF4" s="89">
        <v>121.6</v>
      </c>
      <c r="CG4" s="89">
        <v>119.8</v>
      </c>
      <c r="CH4" s="89">
        <v>144.4</v>
      </c>
      <c r="CI4" s="89">
        <v>74.099999999999994</v>
      </c>
      <c r="CJ4" s="89">
        <v>102.3</v>
      </c>
      <c r="CK4" s="89">
        <v>108.7</v>
      </c>
      <c r="CL4" s="89">
        <v>117.1</v>
      </c>
      <c r="CM4" s="89">
        <v>110.7</v>
      </c>
      <c r="CN4" s="89">
        <v>130.4</v>
      </c>
      <c r="CO4" s="89">
        <v>120.6</v>
      </c>
      <c r="CP4" s="89">
        <v>84.8</v>
      </c>
      <c r="CQ4" s="89">
        <v>113.6</v>
      </c>
      <c r="CR4" s="89">
        <v>128.4</v>
      </c>
      <c r="CS4" s="89">
        <v>112.4</v>
      </c>
      <c r="CT4" s="89">
        <v>128.6</v>
      </c>
      <c r="CU4" s="89">
        <v>123.7</v>
      </c>
      <c r="CV4" s="89">
        <v>76.3</v>
      </c>
      <c r="CW4" s="89">
        <v>128.19999999999999</v>
      </c>
      <c r="CX4" s="89">
        <v>129.4</v>
      </c>
      <c r="CY4" s="89">
        <v>125.5</v>
      </c>
    </row>
    <row r="5" spans="1:103">
      <c r="A5" s="543" t="s">
        <v>178</v>
      </c>
      <c r="B5" s="87">
        <v>13.4</v>
      </c>
      <c r="C5" s="87">
        <v>13.1</v>
      </c>
      <c r="D5" s="87">
        <v>12.1</v>
      </c>
      <c r="E5" s="87">
        <v>15.2</v>
      </c>
      <c r="F5" s="87">
        <v>15.8</v>
      </c>
      <c r="G5" s="87">
        <v>12.5</v>
      </c>
      <c r="H5" s="87">
        <v>14.2</v>
      </c>
      <c r="I5" s="87">
        <v>16.7</v>
      </c>
      <c r="J5" s="87">
        <v>15.8</v>
      </c>
      <c r="K5" s="87">
        <v>15.8</v>
      </c>
      <c r="L5" s="87">
        <v>15.1</v>
      </c>
      <c r="M5" s="89">
        <v>14</v>
      </c>
      <c r="N5" s="87">
        <v>12.2</v>
      </c>
      <c r="O5" s="87">
        <v>15.5</v>
      </c>
      <c r="P5" s="87">
        <v>17.399999999999999</v>
      </c>
      <c r="Q5" s="88">
        <v>19.899999999999999</v>
      </c>
      <c r="R5" s="88">
        <v>19.7</v>
      </c>
      <c r="S5" s="88">
        <v>19.399999999999999</v>
      </c>
      <c r="T5" s="88">
        <v>16.600000000000001</v>
      </c>
      <c r="U5" s="88">
        <v>17.899999999999999</v>
      </c>
      <c r="V5" s="88">
        <v>18.600000000000001</v>
      </c>
      <c r="W5" s="88">
        <v>18.7</v>
      </c>
      <c r="X5" s="88">
        <v>21.3</v>
      </c>
      <c r="Y5" s="68">
        <v>23</v>
      </c>
      <c r="Z5" s="88">
        <v>15.6</v>
      </c>
      <c r="AA5" s="88">
        <v>15.8</v>
      </c>
      <c r="AB5" s="88">
        <v>20.2</v>
      </c>
      <c r="AC5" s="68">
        <v>17</v>
      </c>
      <c r="AD5" s="88">
        <v>16.100000000000001</v>
      </c>
      <c r="AE5" s="88">
        <v>15.4</v>
      </c>
      <c r="AF5" s="68">
        <v>15.1</v>
      </c>
      <c r="AG5" s="88">
        <v>13.8</v>
      </c>
      <c r="AH5" s="88">
        <v>16.2</v>
      </c>
      <c r="AI5" s="87">
        <v>16.600000000000001</v>
      </c>
      <c r="AJ5" s="89">
        <v>18</v>
      </c>
      <c r="AK5" s="87">
        <v>14.4</v>
      </c>
      <c r="AL5" s="87">
        <v>10.8</v>
      </c>
      <c r="AM5" s="87">
        <v>11.8</v>
      </c>
      <c r="AN5" s="89">
        <v>13</v>
      </c>
      <c r="AO5" s="89">
        <v>14.7</v>
      </c>
      <c r="AP5" s="89">
        <v>12.9</v>
      </c>
      <c r="AQ5" s="89">
        <v>15.6</v>
      </c>
      <c r="AR5" s="89">
        <v>13.3</v>
      </c>
      <c r="AS5" s="89">
        <v>14.5</v>
      </c>
      <c r="AT5" s="89">
        <v>17.8</v>
      </c>
      <c r="AU5" s="89">
        <v>11</v>
      </c>
      <c r="AV5" s="89">
        <v>13.1</v>
      </c>
      <c r="AW5" s="89">
        <v>15</v>
      </c>
      <c r="AX5" s="89">
        <v>15.2</v>
      </c>
      <c r="AY5" s="89">
        <v>13</v>
      </c>
      <c r="AZ5" s="89">
        <v>14.6</v>
      </c>
      <c r="BA5" s="89">
        <v>15.8</v>
      </c>
      <c r="BB5" s="89">
        <v>17.3</v>
      </c>
      <c r="BC5" s="89">
        <v>15.3</v>
      </c>
      <c r="BD5" s="89">
        <v>11.7</v>
      </c>
      <c r="BE5" s="89">
        <v>13.5</v>
      </c>
      <c r="BF5" s="89">
        <v>15.9</v>
      </c>
      <c r="BG5" s="89">
        <v>18.100000000000001</v>
      </c>
      <c r="BH5" s="89">
        <v>13.6</v>
      </c>
      <c r="BI5" s="89">
        <v>13.7</v>
      </c>
      <c r="BJ5" s="89">
        <v>17.399999999999999</v>
      </c>
      <c r="BK5" s="89">
        <v>14.1</v>
      </c>
      <c r="BL5" s="89">
        <v>15.9</v>
      </c>
      <c r="BM5" s="89">
        <v>14.7</v>
      </c>
      <c r="BN5" s="89">
        <v>16.5</v>
      </c>
      <c r="BO5" s="89">
        <v>14</v>
      </c>
      <c r="BP5" s="89">
        <v>12.2</v>
      </c>
      <c r="BQ5" s="89">
        <v>13.6</v>
      </c>
      <c r="BR5" s="89">
        <v>15.1</v>
      </c>
      <c r="BS5" s="89">
        <v>14.9</v>
      </c>
      <c r="BT5" s="89">
        <v>16.5</v>
      </c>
      <c r="BU5" s="89">
        <v>19.600000000000001</v>
      </c>
      <c r="BV5" s="89">
        <v>9.6999999999999993</v>
      </c>
      <c r="BW5" s="89">
        <v>15.2</v>
      </c>
      <c r="BX5" s="89">
        <v>15.9</v>
      </c>
      <c r="BY5" s="89">
        <v>15.2</v>
      </c>
      <c r="BZ5" s="89">
        <v>14.7</v>
      </c>
      <c r="CA5" s="89">
        <v>13.5</v>
      </c>
      <c r="CB5" s="89">
        <v>16.600000000000001</v>
      </c>
      <c r="CC5" s="89">
        <v>9.8000000000000007</v>
      </c>
      <c r="CD5" s="89">
        <v>16.2</v>
      </c>
      <c r="CE5" s="89">
        <v>14.2</v>
      </c>
      <c r="CF5" s="89">
        <v>15.6</v>
      </c>
      <c r="CG5" s="89">
        <v>16.899999999999999</v>
      </c>
      <c r="CH5" s="89">
        <v>15.9</v>
      </c>
      <c r="CI5" s="89">
        <v>10.4</v>
      </c>
      <c r="CJ5" s="89">
        <v>15.6</v>
      </c>
      <c r="CK5" s="89">
        <v>14.7</v>
      </c>
      <c r="CL5" s="89">
        <v>13.8</v>
      </c>
      <c r="CM5" s="89">
        <v>13.4</v>
      </c>
      <c r="CN5" s="89">
        <v>13.5</v>
      </c>
      <c r="CO5" s="89">
        <v>13.3</v>
      </c>
      <c r="CP5" s="89">
        <v>8.5</v>
      </c>
      <c r="CQ5" s="89">
        <v>13.9</v>
      </c>
      <c r="CR5" s="89">
        <v>14.7</v>
      </c>
      <c r="CS5" s="89">
        <v>12.4</v>
      </c>
      <c r="CT5" s="89">
        <v>13.6</v>
      </c>
      <c r="CU5" s="89">
        <v>11.7</v>
      </c>
      <c r="CV5" s="89">
        <v>11.3</v>
      </c>
      <c r="CW5" s="89">
        <v>12.6</v>
      </c>
      <c r="CX5" s="89">
        <v>12</v>
      </c>
      <c r="CY5" s="89">
        <v>12.2</v>
      </c>
    </row>
    <row r="6" spans="1:103">
      <c r="A6" s="543" t="s">
        <v>320</v>
      </c>
      <c r="B6" s="87">
        <v>1.1000000000000001</v>
      </c>
      <c r="C6" s="87">
        <v>1.4</v>
      </c>
      <c r="D6" s="87">
        <v>1.5</v>
      </c>
      <c r="E6" s="87">
        <v>1</v>
      </c>
      <c r="F6" s="87">
        <v>1.6</v>
      </c>
      <c r="G6" s="87">
        <v>1.3</v>
      </c>
      <c r="H6" s="87">
        <v>1.5</v>
      </c>
      <c r="I6" s="87">
        <v>1.1000000000000001</v>
      </c>
      <c r="J6" s="87">
        <v>0.8</v>
      </c>
      <c r="K6" s="87">
        <v>1.5</v>
      </c>
      <c r="L6" s="87">
        <v>1.4</v>
      </c>
      <c r="M6" s="87">
        <v>1.3</v>
      </c>
      <c r="N6" s="89">
        <v>1</v>
      </c>
      <c r="O6" s="87">
        <v>1.2</v>
      </c>
      <c r="P6" s="87">
        <v>1.1000000000000001</v>
      </c>
      <c r="Q6" s="88">
        <v>0.4</v>
      </c>
      <c r="R6" s="88">
        <v>1.3</v>
      </c>
      <c r="S6" s="88">
        <v>1.2</v>
      </c>
      <c r="T6" s="88">
        <v>0.55000000000000004</v>
      </c>
      <c r="U6" s="68">
        <v>1.42</v>
      </c>
      <c r="V6" s="88">
        <v>0.7</v>
      </c>
      <c r="W6" s="88">
        <v>0.7</v>
      </c>
      <c r="X6" s="88">
        <v>1.1000000000000001</v>
      </c>
      <c r="Y6" s="88">
        <v>1.3</v>
      </c>
      <c r="Z6" s="88">
        <v>0.8</v>
      </c>
      <c r="AA6" s="88">
        <v>0.8</v>
      </c>
      <c r="AB6" s="88">
        <v>0.2</v>
      </c>
      <c r="AC6" s="88">
        <v>0.7</v>
      </c>
      <c r="AD6" s="88">
        <v>1.7</v>
      </c>
      <c r="AE6" s="88">
        <v>1.2</v>
      </c>
      <c r="AF6" s="88">
        <v>0.8</v>
      </c>
      <c r="AG6" s="88">
        <v>0.6</v>
      </c>
      <c r="AH6" s="88">
        <v>0.5</v>
      </c>
      <c r="AI6" s="87">
        <v>0.6</v>
      </c>
      <c r="AJ6" s="87">
        <v>0.6</v>
      </c>
      <c r="AK6" s="87">
        <v>0.9</v>
      </c>
      <c r="AL6" s="87">
        <v>0.6</v>
      </c>
      <c r="AM6" s="87">
        <v>0.4</v>
      </c>
      <c r="AN6" s="87">
        <v>0.9</v>
      </c>
      <c r="AO6" s="87">
        <v>0.9</v>
      </c>
      <c r="AP6" s="87">
        <v>0.9</v>
      </c>
      <c r="AQ6" s="87">
        <v>0.8</v>
      </c>
      <c r="AR6" s="87">
        <v>0.3</v>
      </c>
      <c r="AS6" s="89">
        <v>1</v>
      </c>
      <c r="AT6" s="87">
        <v>1.2</v>
      </c>
      <c r="AU6" s="89">
        <v>0.3</v>
      </c>
      <c r="AV6" s="87">
        <v>0.5</v>
      </c>
      <c r="AW6" s="89">
        <v>0.4</v>
      </c>
      <c r="AX6" s="87">
        <v>0.3</v>
      </c>
      <c r="AY6" s="89">
        <v>0.5</v>
      </c>
      <c r="AZ6" s="89">
        <v>0.4</v>
      </c>
      <c r="BA6" s="89">
        <v>0.1</v>
      </c>
      <c r="BB6" s="89">
        <v>0.4</v>
      </c>
      <c r="BC6" s="89">
        <v>0.3</v>
      </c>
      <c r="BD6" s="89">
        <v>0.2</v>
      </c>
      <c r="BE6" s="89">
        <v>0.2</v>
      </c>
      <c r="BF6" s="89">
        <v>0.1</v>
      </c>
      <c r="BG6" s="89">
        <v>0.2</v>
      </c>
      <c r="BH6" s="89">
        <v>0.1</v>
      </c>
      <c r="BI6" s="123">
        <v>0.17</v>
      </c>
      <c r="BJ6" s="123">
        <v>0.11</v>
      </c>
      <c r="BK6" s="123">
        <v>0.25</v>
      </c>
      <c r="BL6" s="123">
        <v>0.65</v>
      </c>
      <c r="BM6" s="89">
        <v>0.4</v>
      </c>
      <c r="BN6" s="89">
        <v>0.5</v>
      </c>
      <c r="BO6" s="89">
        <v>0.3</v>
      </c>
      <c r="BP6" s="89">
        <v>0.3</v>
      </c>
      <c r="BQ6" s="89">
        <v>0.3</v>
      </c>
      <c r="BR6" s="89">
        <v>0.4</v>
      </c>
      <c r="BS6" s="89">
        <v>0</v>
      </c>
      <c r="BT6" s="89">
        <v>0.4</v>
      </c>
      <c r="BU6" s="89">
        <v>0.02</v>
      </c>
      <c r="BV6" s="89">
        <v>0.14000000000000001</v>
      </c>
      <c r="BW6" s="89">
        <v>0.23</v>
      </c>
      <c r="BX6" s="89">
        <v>0.19</v>
      </c>
      <c r="BY6" s="89">
        <v>0.1</v>
      </c>
      <c r="BZ6" s="89">
        <v>0.2</v>
      </c>
      <c r="CA6" s="89">
        <v>0.2</v>
      </c>
      <c r="CB6" s="89">
        <v>0.2</v>
      </c>
      <c r="CC6" s="89">
        <v>0.4</v>
      </c>
      <c r="CD6" s="89">
        <v>0.4</v>
      </c>
      <c r="CE6" s="89">
        <v>0.6</v>
      </c>
      <c r="CF6" s="89">
        <v>0.5</v>
      </c>
      <c r="CG6" s="89">
        <v>0.2</v>
      </c>
      <c r="CH6" s="89">
        <v>0.1</v>
      </c>
      <c r="CI6" s="123">
        <v>0.05</v>
      </c>
      <c r="CJ6" s="89">
        <v>0.3</v>
      </c>
      <c r="CK6" s="89">
        <v>0.3</v>
      </c>
      <c r="CL6" s="89">
        <v>0.4</v>
      </c>
      <c r="CM6" s="89">
        <v>0.5</v>
      </c>
      <c r="CN6" s="89">
        <v>0.7</v>
      </c>
      <c r="CO6" s="89">
        <v>1</v>
      </c>
      <c r="CP6" s="89">
        <v>0.6</v>
      </c>
      <c r="CQ6" s="89">
        <v>0.4</v>
      </c>
      <c r="CR6" s="89">
        <v>0.5</v>
      </c>
      <c r="CS6" s="89">
        <v>0.2</v>
      </c>
      <c r="CT6" s="89">
        <v>0.3</v>
      </c>
      <c r="CU6" s="123">
        <v>0.18</v>
      </c>
      <c r="CV6" s="89">
        <v>0.4</v>
      </c>
      <c r="CW6" s="89">
        <v>0.3</v>
      </c>
      <c r="CX6" s="89">
        <v>0.5</v>
      </c>
      <c r="CY6" s="89">
        <v>0.1</v>
      </c>
    </row>
    <row r="7" spans="1:103" ht="16.5" customHeight="1">
      <c r="A7" s="538" t="s">
        <v>22</v>
      </c>
      <c r="B7" s="90"/>
      <c r="C7" s="90"/>
      <c r="D7" s="90"/>
      <c r="E7" s="91"/>
      <c r="F7" s="91"/>
      <c r="G7" s="91"/>
      <c r="H7" s="91"/>
      <c r="I7" s="91"/>
      <c r="J7" s="91"/>
      <c r="K7" s="91"/>
      <c r="L7" s="91"/>
      <c r="M7" s="91"/>
      <c r="N7" s="91"/>
      <c r="O7" s="91"/>
      <c r="P7" s="91"/>
      <c r="Q7" s="92"/>
      <c r="R7" s="92"/>
      <c r="S7" s="92"/>
      <c r="T7" s="92"/>
      <c r="U7" s="92"/>
      <c r="V7" s="92"/>
      <c r="W7" s="92"/>
      <c r="X7" s="92"/>
      <c r="Y7" s="92"/>
      <c r="Z7" s="92"/>
      <c r="AA7" s="92"/>
      <c r="AB7" s="92"/>
      <c r="AC7" s="92"/>
      <c r="AD7" s="92"/>
      <c r="AE7" s="92"/>
      <c r="AF7" s="93"/>
      <c r="AG7" s="93"/>
      <c r="AH7" s="93"/>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row>
    <row r="8" spans="1:103">
      <c r="A8" s="543" t="s">
        <v>339</v>
      </c>
      <c r="B8" s="87">
        <v>33.799999999999997</v>
      </c>
      <c r="C8" s="87">
        <v>32.799999999999997</v>
      </c>
      <c r="D8" s="87">
        <v>36.1</v>
      </c>
      <c r="E8" s="87">
        <v>33</v>
      </c>
      <c r="F8" s="87">
        <v>35.200000000000003</v>
      </c>
      <c r="G8" s="87">
        <v>34</v>
      </c>
      <c r="H8" s="87">
        <v>33.799999999999997</v>
      </c>
      <c r="I8" s="87">
        <v>33.9</v>
      </c>
      <c r="J8" s="87">
        <v>33.299999999999997</v>
      </c>
      <c r="K8" s="87">
        <v>36.200000000000003</v>
      </c>
      <c r="L8" s="87">
        <v>32.799999999999997</v>
      </c>
      <c r="M8" s="87">
        <v>26.3</v>
      </c>
      <c r="N8" s="87">
        <v>33.9</v>
      </c>
      <c r="O8" s="89">
        <v>31</v>
      </c>
      <c r="P8" s="87">
        <v>34.200000000000003</v>
      </c>
      <c r="Q8" s="88">
        <v>33.799999999999997</v>
      </c>
      <c r="R8" s="68">
        <v>35</v>
      </c>
      <c r="S8" s="88">
        <v>32.299999999999997</v>
      </c>
      <c r="T8" s="88">
        <v>35.299999999999997</v>
      </c>
      <c r="U8" s="88">
        <v>35.200000000000003</v>
      </c>
      <c r="V8" s="88">
        <v>34.299999999999997</v>
      </c>
      <c r="W8" s="88">
        <v>36.5</v>
      </c>
      <c r="X8" s="88">
        <v>30.8</v>
      </c>
      <c r="Y8" s="88">
        <v>26.8</v>
      </c>
      <c r="Z8" s="88">
        <v>31.9</v>
      </c>
      <c r="AA8" s="88">
        <v>32.9</v>
      </c>
      <c r="AB8" s="88">
        <v>34.299999999999997</v>
      </c>
      <c r="AC8" s="88">
        <v>31.8</v>
      </c>
      <c r="AD8" s="88">
        <v>33.799999999999997</v>
      </c>
      <c r="AE8" s="68">
        <v>34</v>
      </c>
      <c r="AF8" s="88">
        <v>33.299999999999997</v>
      </c>
      <c r="AG8" s="68">
        <v>31.2</v>
      </c>
      <c r="AH8" s="88">
        <v>33.5</v>
      </c>
      <c r="AI8" s="87">
        <v>34.700000000000003</v>
      </c>
      <c r="AJ8" s="87">
        <v>33.1</v>
      </c>
      <c r="AK8" s="87">
        <v>28.1</v>
      </c>
      <c r="AL8" s="87">
        <v>31.2</v>
      </c>
      <c r="AM8" s="89">
        <v>31</v>
      </c>
      <c r="AN8" s="89">
        <v>34.700000000000003</v>
      </c>
      <c r="AO8" s="89">
        <v>32</v>
      </c>
      <c r="AP8" s="89">
        <v>33.200000000000003</v>
      </c>
      <c r="AQ8" s="89">
        <v>33</v>
      </c>
      <c r="AR8" s="89">
        <v>33.9</v>
      </c>
      <c r="AS8" s="89">
        <v>33.4</v>
      </c>
      <c r="AT8" s="89">
        <v>33.6</v>
      </c>
      <c r="AU8" s="87">
        <v>34.200000000000003</v>
      </c>
      <c r="AV8" s="89">
        <v>32</v>
      </c>
      <c r="AW8" s="87">
        <v>29.1</v>
      </c>
      <c r="AX8" s="87">
        <v>33.1</v>
      </c>
      <c r="AY8" s="87">
        <v>31.5</v>
      </c>
      <c r="AZ8" s="87">
        <v>35.4</v>
      </c>
      <c r="BA8" s="87">
        <v>31.3</v>
      </c>
      <c r="BB8" s="87">
        <v>34.5</v>
      </c>
      <c r="BC8" s="87">
        <v>33.1</v>
      </c>
      <c r="BD8" s="87">
        <v>32.299999999999997</v>
      </c>
      <c r="BE8" s="87">
        <v>32.6</v>
      </c>
      <c r="BF8" s="87">
        <v>31.6</v>
      </c>
      <c r="BG8" s="87">
        <v>33.700000000000003</v>
      </c>
      <c r="BH8" s="87">
        <v>32.1</v>
      </c>
      <c r="BI8" s="87">
        <v>31.4</v>
      </c>
      <c r="BJ8" s="87">
        <v>33.5</v>
      </c>
      <c r="BK8" s="87">
        <v>31.5</v>
      </c>
      <c r="BL8" s="87">
        <v>35.4</v>
      </c>
      <c r="BM8" s="87">
        <v>32.700000000000003</v>
      </c>
      <c r="BN8" s="89">
        <v>35</v>
      </c>
      <c r="BO8" s="87">
        <v>34.1</v>
      </c>
      <c r="BP8" s="87">
        <v>33.6</v>
      </c>
      <c r="BQ8" s="87">
        <v>34.200000000000003</v>
      </c>
      <c r="BR8" s="87">
        <v>33.200000000000003</v>
      </c>
      <c r="BS8" s="87">
        <v>33.200000000000003</v>
      </c>
      <c r="BT8" s="87">
        <v>31.8</v>
      </c>
      <c r="BU8" s="87">
        <v>27.1</v>
      </c>
      <c r="BV8" s="87">
        <v>34.1</v>
      </c>
      <c r="BW8" s="87">
        <v>33.1</v>
      </c>
      <c r="BX8" s="87">
        <v>35.299999999999997</v>
      </c>
      <c r="BY8" s="87">
        <v>33.1</v>
      </c>
      <c r="BZ8" s="87">
        <v>35.799999999999997</v>
      </c>
      <c r="CA8" s="87">
        <v>34.200000000000003</v>
      </c>
      <c r="CB8" s="87">
        <v>34.799999999999997</v>
      </c>
      <c r="CC8" s="87">
        <v>32.799999999999997</v>
      </c>
      <c r="CD8" s="87">
        <v>30.9</v>
      </c>
      <c r="CE8" s="87">
        <v>34.6</v>
      </c>
      <c r="CF8" s="87">
        <v>32.700000000000003</v>
      </c>
      <c r="CG8" s="87">
        <v>28.7</v>
      </c>
      <c r="CH8" s="87">
        <v>33.200000000000003</v>
      </c>
      <c r="CI8" s="87">
        <v>31.2</v>
      </c>
      <c r="CJ8" s="89">
        <v>35</v>
      </c>
      <c r="CK8" s="89">
        <v>32.799999999999997</v>
      </c>
      <c r="CL8" s="89">
        <v>35.200000000000003</v>
      </c>
      <c r="CM8" s="89">
        <v>33.6</v>
      </c>
      <c r="CN8" s="89">
        <v>34.4</v>
      </c>
      <c r="CO8" s="89">
        <v>33.299999999999997</v>
      </c>
      <c r="CP8" s="89">
        <v>36.1</v>
      </c>
      <c r="CQ8" s="89">
        <v>36.1</v>
      </c>
      <c r="CR8" s="89">
        <v>32.9</v>
      </c>
      <c r="CS8" s="89">
        <v>27.4</v>
      </c>
      <c r="CT8" s="89">
        <v>34</v>
      </c>
      <c r="CU8" s="89">
        <v>31.5</v>
      </c>
      <c r="CV8" s="89">
        <v>37.1</v>
      </c>
      <c r="CW8" s="89">
        <v>33.6</v>
      </c>
      <c r="CX8" s="89">
        <v>34.9</v>
      </c>
      <c r="CY8" s="89">
        <v>32.299999999999997</v>
      </c>
    </row>
    <row r="9" spans="1:103">
      <c r="A9" s="543" t="s">
        <v>340</v>
      </c>
      <c r="B9" s="87">
        <v>105.4</v>
      </c>
      <c r="C9" s="87">
        <v>103.1</v>
      </c>
      <c r="D9" s="87">
        <v>113.3</v>
      </c>
      <c r="E9" s="87">
        <v>101.7</v>
      </c>
      <c r="F9" s="87">
        <v>109</v>
      </c>
      <c r="G9" s="87">
        <v>106.9</v>
      </c>
      <c r="H9" s="87">
        <v>106.8</v>
      </c>
      <c r="I9" s="87">
        <v>108.7</v>
      </c>
      <c r="J9" s="87">
        <v>105.2</v>
      </c>
      <c r="K9" s="87">
        <v>112.5</v>
      </c>
      <c r="L9" s="87">
        <v>104.8</v>
      </c>
      <c r="M9" s="87">
        <v>86.7</v>
      </c>
      <c r="N9" s="89">
        <v>110</v>
      </c>
      <c r="O9" s="87">
        <v>95.2</v>
      </c>
      <c r="P9" s="87">
        <v>106.3</v>
      </c>
      <c r="Q9" s="88">
        <v>105.8</v>
      </c>
      <c r="R9" s="88">
        <v>110.7</v>
      </c>
      <c r="S9" s="88">
        <v>105.1</v>
      </c>
      <c r="T9" s="88">
        <v>108.3</v>
      </c>
      <c r="U9" s="88">
        <v>106.8</v>
      </c>
      <c r="V9" s="68">
        <v>104</v>
      </c>
      <c r="W9" s="88">
        <v>114.5</v>
      </c>
      <c r="X9" s="88">
        <v>97.4</v>
      </c>
      <c r="Y9" s="68">
        <v>85</v>
      </c>
      <c r="Z9" s="88">
        <v>101.5</v>
      </c>
      <c r="AA9" s="88">
        <v>103.7</v>
      </c>
      <c r="AB9" s="88">
        <v>106.8</v>
      </c>
      <c r="AC9" s="88">
        <v>98.5</v>
      </c>
      <c r="AD9" s="88">
        <v>102.5</v>
      </c>
      <c r="AE9" s="68">
        <v>104</v>
      </c>
      <c r="AF9" s="88">
        <v>100.7</v>
      </c>
      <c r="AG9" s="88">
        <v>94.7</v>
      </c>
      <c r="AH9" s="88">
        <v>104.6</v>
      </c>
      <c r="AI9" s="87">
        <v>109.8</v>
      </c>
      <c r="AJ9" s="87">
        <v>103.4</v>
      </c>
      <c r="AK9" s="87">
        <v>88.2</v>
      </c>
      <c r="AL9" s="87">
        <v>99.4</v>
      </c>
      <c r="AM9" s="89">
        <v>100</v>
      </c>
      <c r="AN9" s="89">
        <v>113.5</v>
      </c>
      <c r="AO9" s="89">
        <v>107.1</v>
      </c>
      <c r="AP9" s="89">
        <v>111</v>
      </c>
      <c r="AQ9" s="89">
        <v>109.2</v>
      </c>
      <c r="AR9" s="89">
        <v>111.7</v>
      </c>
      <c r="AS9" s="89">
        <v>109.9</v>
      </c>
      <c r="AT9" s="89">
        <v>115</v>
      </c>
      <c r="AU9" s="89">
        <v>117</v>
      </c>
      <c r="AV9" s="89">
        <v>111.1</v>
      </c>
      <c r="AW9" s="89">
        <v>97.9</v>
      </c>
      <c r="AX9" s="89">
        <v>108.4</v>
      </c>
      <c r="AY9" s="89">
        <v>104.5</v>
      </c>
      <c r="AZ9" s="89">
        <v>117.5</v>
      </c>
      <c r="BA9" s="89">
        <v>105.1</v>
      </c>
      <c r="BB9" s="89">
        <v>116.4</v>
      </c>
      <c r="BC9" s="89">
        <v>110.4</v>
      </c>
      <c r="BD9" s="89">
        <v>108.8</v>
      </c>
      <c r="BE9" s="89">
        <v>110.1</v>
      </c>
      <c r="BF9" s="89">
        <v>107.7</v>
      </c>
      <c r="BG9" s="89">
        <v>114.1</v>
      </c>
      <c r="BH9" s="89">
        <v>107.8</v>
      </c>
      <c r="BI9" s="89">
        <v>105.1</v>
      </c>
      <c r="BJ9" s="89">
        <v>110.1</v>
      </c>
      <c r="BK9" s="89">
        <v>107.3</v>
      </c>
      <c r="BL9" s="89">
        <v>121.2</v>
      </c>
      <c r="BM9" s="89">
        <v>108.8</v>
      </c>
      <c r="BN9" s="89">
        <v>115.8</v>
      </c>
      <c r="BO9" s="89">
        <v>114.2</v>
      </c>
      <c r="BP9" s="89">
        <v>110.1</v>
      </c>
      <c r="BQ9" s="89">
        <v>114.7</v>
      </c>
      <c r="BR9" s="89">
        <v>109.4</v>
      </c>
      <c r="BS9" s="89">
        <v>110.6</v>
      </c>
      <c r="BT9" s="89">
        <v>106.4</v>
      </c>
      <c r="BU9" s="89">
        <v>91.3</v>
      </c>
      <c r="BV9" s="89">
        <v>113.2</v>
      </c>
      <c r="BW9" s="89">
        <v>112.6</v>
      </c>
      <c r="BX9" s="89">
        <v>117.3</v>
      </c>
      <c r="BY9" s="89">
        <v>107.9</v>
      </c>
      <c r="BZ9" s="89">
        <v>117</v>
      </c>
      <c r="CA9" s="89">
        <v>111.7</v>
      </c>
      <c r="CB9" s="89">
        <v>114.1</v>
      </c>
      <c r="CC9" s="89">
        <v>107.8</v>
      </c>
      <c r="CD9" s="89">
        <v>100.9</v>
      </c>
      <c r="CE9" s="89">
        <v>115.5</v>
      </c>
      <c r="CF9" s="89">
        <v>108</v>
      </c>
      <c r="CG9" s="89">
        <v>92.2</v>
      </c>
      <c r="CH9" s="89">
        <v>107.9</v>
      </c>
      <c r="CI9" s="89">
        <v>105.1</v>
      </c>
      <c r="CJ9" s="89">
        <v>115.6</v>
      </c>
      <c r="CK9" s="89">
        <v>108.5</v>
      </c>
      <c r="CL9" s="89">
        <v>116</v>
      </c>
      <c r="CM9" s="89">
        <v>106.6</v>
      </c>
      <c r="CN9" s="89">
        <v>113.1</v>
      </c>
      <c r="CO9" s="89">
        <v>107.9</v>
      </c>
      <c r="CP9" s="89">
        <v>115.4</v>
      </c>
      <c r="CQ9" s="89">
        <v>119.8</v>
      </c>
      <c r="CR9" s="89">
        <v>112.6</v>
      </c>
      <c r="CS9" s="89">
        <v>92.1</v>
      </c>
      <c r="CT9" s="89">
        <v>117</v>
      </c>
      <c r="CU9" s="89">
        <v>108.1</v>
      </c>
      <c r="CV9" s="89">
        <v>125.4</v>
      </c>
      <c r="CW9" s="89">
        <v>115.6</v>
      </c>
      <c r="CX9" s="89">
        <v>119.9</v>
      </c>
      <c r="CY9" s="89">
        <v>109.5</v>
      </c>
    </row>
    <row r="10" spans="1:103">
      <c r="A10" s="543" t="s">
        <v>310</v>
      </c>
      <c r="B10" s="87">
        <v>37.6</v>
      </c>
      <c r="C10" s="87">
        <v>34.9</v>
      </c>
      <c r="D10" s="87">
        <v>38.299999999999997</v>
      </c>
      <c r="E10" s="87">
        <v>37.1</v>
      </c>
      <c r="F10" s="87">
        <v>40.200000000000003</v>
      </c>
      <c r="G10" s="87">
        <v>39.4</v>
      </c>
      <c r="H10" s="87">
        <v>45.2</v>
      </c>
      <c r="I10" s="87">
        <v>46.8</v>
      </c>
      <c r="J10" s="87">
        <v>46.9</v>
      </c>
      <c r="K10" s="87">
        <v>45.3</v>
      </c>
      <c r="L10" s="87">
        <v>43.5</v>
      </c>
      <c r="M10" s="87">
        <v>46.7</v>
      </c>
      <c r="N10" s="87">
        <v>48.4</v>
      </c>
      <c r="O10" s="87">
        <v>44.2</v>
      </c>
      <c r="P10" s="87">
        <v>49.1</v>
      </c>
      <c r="Q10" s="88">
        <v>47.9</v>
      </c>
      <c r="R10" s="88">
        <v>49.7</v>
      </c>
      <c r="S10" s="88">
        <v>47.4</v>
      </c>
      <c r="T10" s="88">
        <v>47.9</v>
      </c>
      <c r="U10" s="88">
        <v>47.1</v>
      </c>
      <c r="V10" s="88">
        <v>45.9</v>
      </c>
      <c r="W10" s="88">
        <v>45.2</v>
      </c>
      <c r="X10" s="88">
        <v>45.7</v>
      </c>
      <c r="Y10" s="68">
        <v>47</v>
      </c>
      <c r="Z10" s="88">
        <v>48.2</v>
      </c>
      <c r="AA10" s="88">
        <v>44.5</v>
      </c>
      <c r="AB10" s="88">
        <v>48.3</v>
      </c>
      <c r="AC10" s="88">
        <v>45.9</v>
      </c>
      <c r="AD10" s="68">
        <v>48</v>
      </c>
      <c r="AE10" s="88">
        <v>45.9</v>
      </c>
      <c r="AF10" s="68">
        <v>44.7</v>
      </c>
      <c r="AG10" s="88">
        <v>44.7</v>
      </c>
      <c r="AH10" s="88">
        <v>41.8</v>
      </c>
      <c r="AI10" s="87">
        <v>48.9</v>
      </c>
      <c r="AJ10" s="87">
        <v>48.4</v>
      </c>
      <c r="AK10" s="87">
        <v>51.1</v>
      </c>
      <c r="AL10" s="87">
        <v>50.1</v>
      </c>
      <c r="AM10" s="87">
        <v>45.8</v>
      </c>
      <c r="AN10" s="87">
        <v>50.5</v>
      </c>
      <c r="AO10" s="87">
        <v>48.4</v>
      </c>
      <c r="AP10" s="89">
        <v>50</v>
      </c>
      <c r="AQ10" s="87">
        <v>48.4</v>
      </c>
      <c r="AR10" s="87">
        <v>49.7</v>
      </c>
      <c r="AS10" s="87">
        <v>49.9</v>
      </c>
      <c r="AT10" s="87">
        <v>47.3</v>
      </c>
      <c r="AU10" s="89">
        <v>48.9</v>
      </c>
      <c r="AV10" s="87">
        <v>46.6</v>
      </c>
      <c r="AW10" s="89">
        <v>42</v>
      </c>
      <c r="AX10" s="87">
        <v>52.8</v>
      </c>
      <c r="AY10" s="89">
        <v>48.1</v>
      </c>
      <c r="AZ10" s="89">
        <v>50.2</v>
      </c>
      <c r="BA10" s="89">
        <v>48.1</v>
      </c>
      <c r="BB10" s="89">
        <v>50.4</v>
      </c>
      <c r="BC10" s="89">
        <v>46.7</v>
      </c>
      <c r="BD10" s="89">
        <v>49.5</v>
      </c>
      <c r="BE10" s="89">
        <v>48.7</v>
      </c>
      <c r="BF10" s="89">
        <v>48.1</v>
      </c>
      <c r="BG10" s="89">
        <v>50.4</v>
      </c>
      <c r="BH10" s="89">
        <v>49.2</v>
      </c>
      <c r="BI10" s="89">
        <v>43.9</v>
      </c>
      <c r="BJ10" s="89">
        <v>50.6</v>
      </c>
      <c r="BK10" s="89">
        <v>45.6</v>
      </c>
      <c r="BL10" s="89">
        <v>52.9</v>
      </c>
      <c r="BM10" s="89">
        <v>47.6</v>
      </c>
      <c r="BN10" s="89">
        <v>50.2</v>
      </c>
      <c r="BO10" s="89">
        <v>48.9</v>
      </c>
      <c r="BP10" s="89">
        <v>49.8</v>
      </c>
      <c r="BQ10" s="89">
        <v>49.7</v>
      </c>
      <c r="BR10" s="89">
        <v>48.2</v>
      </c>
      <c r="BS10" s="89">
        <v>49.7</v>
      </c>
      <c r="BT10" s="89">
        <v>48.7</v>
      </c>
      <c r="BU10" s="89">
        <v>50.4</v>
      </c>
      <c r="BV10" s="89">
        <v>49.9</v>
      </c>
      <c r="BW10" s="89">
        <v>46.4</v>
      </c>
      <c r="BX10" s="89">
        <v>49.9</v>
      </c>
      <c r="BY10" s="89">
        <v>48.3</v>
      </c>
      <c r="BZ10" s="89">
        <v>49.9</v>
      </c>
      <c r="CA10" s="89">
        <v>48.2</v>
      </c>
      <c r="CB10" s="89">
        <v>49.8</v>
      </c>
      <c r="CC10" s="89">
        <v>50.3</v>
      </c>
      <c r="CD10" s="89">
        <v>48.6</v>
      </c>
      <c r="CE10" s="89">
        <v>48.5</v>
      </c>
      <c r="CF10" s="89">
        <v>48.5</v>
      </c>
      <c r="CG10" s="89">
        <v>50.5</v>
      </c>
      <c r="CH10" s="89">
        <v>47.8</v>
      </c>
      <c r="CI10" s="89">
        <v>40.700000000000003</v>
      </c>
      <c r="CJ10" s="89">
        <v>45.4</v>
      </c>
      <c r="CK10" s="89">
        <v>45.9</v>
      </c>
      <c r="CL10" s="89">
        <v>47.1</v>
      </c>
      <c r="CM10" s="89">
        <v>45.4</v>
      </c>
      <c r="CN10" s="89">
        <v>49.5</v>
      </c>
      <c r="CO10" s="89">
        <v>50.3</v>
      </c>
      <c r="CP10" s="89">
        <v>48.7</v>
      </c>
      <c r="CQ10" s="89">
        <v>50.5</v>
      </c>
      <c r="CR10" s="89">
        <v>48.8</v>
      </c>
      <c r="CS10" s="89">
        <v>50.7</v>
      </c>
      <c r="CT10" s="89">
        <v>50.3</v>
      </c>
      <c r="CU10" s="89">
        <v>45.3</v>
      </c>
      <c r="CV10" s="89">
        <v>49.7</v>
      </c>
      <c r="CW10" s="89">
        <v>48.2</v>
      </c>
      <c r="CX10" s="89">
        <v>49.4</v>
      </c>
      <c r="CY10" s="89">
        <v>48.7</v>
      </c>
    </row>
    <row r="11" spans="1:103">
      <c r="A11" s="544" t="s">
        <v>341</v>
      </c>
      <c r="B11" s="87">
        <v>30.3</v>
      </c>
      <c r="C11" s="87">
        <v>27.3</v>
      </c>
      <c r="D11" s="87">
        <v>28.5</v>
      </c>
      <c r="E11" s="87">
        <v>28.3</v>
      </c>
      <c r="F11" s="87">
        <v>28.6</v>
      </c>
      <c r="G11" s="87">
        <v>28.4</v>
      </c>
      <c r="H11" s="87">
        <v>35.5</v>
      </c>
      <c r="I11" s="87">
        <v>36.9</v>
      </c>
      <c r="J11" s="87">
        <v>37.9</v>
      </c>
      <c r="K11" s="87">
        <v>35.6</v>
      </c>
      <c r="L11" s="87">
        <v>33.299999999999997</v>
      </c>
      <c r="M11" s="87">
        <v>34.799999999999997</v>
      </c>
      <c r="N11" s="87">
        <v>36.799999999999997</v>
      </c>
      <c r="O11" s="87">
        <v>32.4</v>
      </c>
      <c r="P11" s="89">
        <v>35</v>
      </c>
      <c r="Q11" s="88">
        <v>34.700000000000003</v>
      </c>
      <c r="R11" s="88">
        <v>35.700000000000003</v>
      </c>
      <c r="S11" s="88">
        <v>32.9</v>
      </c>
      <c r="T11" s="88">
        <v>35.4</v>
      </c>
      <c r="U11" s="88">
        <v>39.200000000000003</v>
      </c>
      <c r="V11" s="68">
        <v>31</v>
      </c>
      <c r="W11" s="88">
        <v>32.9</v>
      </c>
      <c r="X11" s="88">
        <v>35.9</v>
      </c>
      <c r="Y11" s="68">
        <v>36.4</v>
      </c>
      <c r="Z11" s="88">
        <v>33.200000000000003</v>
      </c>
      <c r="AA11" s="88">
        <v>31.2</v>
      </c>
      <c r="AB11" s="88">
        <v>38.6</v>
      </c>
      <c r="AC11" s="88">
        <v>34.299999999999997</v>
      </c>
      <c r="AD11" s="88">
        <v>34.6</v>
      </c>
      <c r="AE11" s="68">
        <v>34</v>
      </c>
      <c r="AF11" s="88">
        <v>27.3</v>
      </c>
      <c r="AG11" s="88">
        <v>25.2</v>
      </c>
      <c r="AH11" s="88">
        <v>28.7</v>
      </c>
      <c r="AI11" s="87">
        <v>41.2</v>
      </c>
      <c r="AJ11" s="87">
        <v>42.8</v>
      </c>
      <c r="AK11" s="87">
        <v>42.2</v>
      </c>
      <c r="AL11" s="87">
        <v>32.4</v>
      </c>
      <c r="AM11" s="89">
        <v>32</v>
      </c>
      <c r="AN11" s="89">
        <v>35.200000000000003</v>
      </c>
      <c r="AO11" s="89">
        <v>30.8</v>
      </c>
      <c r="AP11" s="89">
        <v>30.8</v>
      </c>
      <c r="AQ11" s="89">
        <v>30.2</v>
      </c>
      <c r="AR11" s="89">
        <v>31.9</v>
      </c>
      <c r="AS11" s="89">
        <v>33.200000000000003</v>
      </c>
      <c r="AT11" s="89">
        <v>28.7</v>
      </c>
      <c r="AU11" s="89">
        <v>37</v>
      </c>
      <c r="AV11" s="89">
        <v>31.5</v>
      </c>
      <c r="AW11" s="89">
        <v>26.8</v>
      </c>
      <c r="AX11" s="89">
        <v>34.9</v>
      </c>
      <c r="AY11" s="89">
        <v>32.1</v>
      </c>
      <c r="AZ11" s="89">
        <v>29.5</v>
      </c>
      <c r="BA11" s="89">
        <v>28.5</v>
      </c>
      <c r="BB11" s="89">
        <v>27.1</v>
      </c>
      <c r="BC11" s="89">
        <v>25.5</v>
      </c>
      <c r="BD11" s="89">
        <v>29.6</v>
      </c>
      <c r="BE11" s="89">
        <v>32.299999999999997</v>
      </c>
      <c r="BF11" s="89">
        <v>34.299999999999997</v>
      </c>
      <c r="BG11" s="89">
        <v>37.4</v>
      </c>
      <c r="BH11" s="89">
        <v>36.700000000000003</v>
      </c>
      <c r="BI11" s="89">
        <v>33.5</v>
      </c>
      <c r="BJ11" s="89">
        <v>35.1</v>
      </c>
      <c r="BK11" s="89">
        <v>28.1</v>
      </c>
      <c r="BL11" s="89">
        <v>36</v>
      </c>
      <c r="BM11" s="89">
        <v>29.2</v>
      </c>
      <c r="BN11" s="89">
        <v>32.9</v>
      </c>
      <c r="BO11" s="89">
        <v>33.5</v>
      </c>
      <c r="BP11" s="89">
        <v>32.1</v>
      </c>
      <c r="BQ11" s="89">
        <v>31.6</v>
      </c>
      <c r="BR11" s="89">
        <v>28.5</v>
      </c>
      <c r="BS11" s="89">
        <v>30.7</v>
      </c>
      <c r="BT11" s="89">
        <v>31.4</v>
      </c>
      <c r="BU11" s="89">
        <v>36.5</v>
      </c>
      <c r="BV11" s="89">
        <v>31.6</v>
      </c>
      <c r="BW11" s="89">
        <v>30.4</v>
      </c>
      <c r="BX11" s="89">
        <v>33.1</v>
      </c>
      <c r="BY11" s="89">
        <v>30.9</v>
      </c>
      <c r="BZ11" s="89">
        <v>34.1</v>
      </c>
      <c r="CA11" s="89">
        <v>33.200000000000003</v>
      </c>
      <c r="CB11" s="89">
        <v>32.6</v>
      </c>
      <c r="CC11" s="89">
        <v>30.6</v>
      </c>
      <c r="CD11" s="89">
        <v>27.8</v>
      </c>
      <c r="CE11" s="89">
        <v>28.9</v>
      </c>
      <c r="CF11" s="89">
        <v>34.4</v>
      </c>
      <c r="CG11" s="89">
        <v>36.299999999999997</v>
      </c>
      <c r="CH11" s="89">
        <v>33.9</v>
      </c>
      <c r="CI11" s="89">
        <v>27.6</v>
      </c>
      <c r="CJ11" s="89">
        <v>28.7</v>
      </c>
      <c r="CK11" s="89">
        <v>30.2</v>
      </c>
      <c r="CL11" s="89">
        <v>31.4</v>
      </c>
      <c r="CM11" s="89">
        <v>30.7</v>
      </c>
      <c r="CN11" s="89">
        <v>31.1</v>
      </c>
      <c r="CO11" s="89">
        <v>34.700000000000003</v>
      </c>
      <c r="CP11" s="89">
        <v>31.8</v>
      </c>
      <c r="CQ11" s="89">
        <v>32.299999999999997</v>
      </c>
      <c r="CR11" s="89">
        <v>29.9</v>
      </c>
      <c r="CS11" s="89">
        <v>33.1</v>
      </c>
      <c r="CT11" s="89">
        <v>32.700000000000003</v>
      </c>
      <c r="CU11" s="89">
        <v>27.6</v>
      </c>
      <c r="CV11" s="89">
        <v>31.3</v>
      </c>
      <c r="CW11" s="89">
        <v>31</v>
      </c>
      <c r="CX11" s="89">
        <v>30.4</v>
      </c>
      <c r="CY11" s="89">
        <v>30.6</v>
      </c>
    </row>
    <row r="12" spans="1:103">
      <c r="A12" s="543" t="s">
        <v>313</v>
      </c>
      <c r="B12" s="87">
        <v>84.9</v>
      </c>
      <c r="C12" s="87">
        <v>70.3</v>
      </c>
      <c r="D12" s="87">
        <v>84.2</v>
      </c>
      <c r="E12" s="87">
        <v>87</v>
      </c>
      <c r="F12" s="87">
        <v>100.3</v>
      </c>
      <c r="G12" s="87">
        <v>51.7</v>
      </c>
      <c r="H12" s="87">
        <v>108.1</v>
      </c>
      <c r="I12" s="87">
        <v>127.1</v>
      </c>
      <c r="J12" s="87">
        <v>122.6</v>
      </c>
      <c r="K12" s="87">
        <v>119.3</v>
      </c>
      <c r="L12" s="87">
        <v>112.3</v>
      </c>
      <c r="M12" s="89">
        <v>121</v>
      </c>
      <c r="N12" s="87">
        <v>74.8</v>
      </c>
      <c r="O12" s="87">
        <v>118.7</v>
      </c>
      <c r="P12" s="87">
        <v>127.5</v>
      </c>
      <c r="Q12" s="88">
        <v>126.8</v>
      </c>
      <c r="R12" s="88">
        <v>132.4</v>
      </c>
      <c r="S12" s="88">
        <v>124.4</v>
      </c>
      <c r="T12" s="88">
        <v>73.5</v>
      </c>
      <c r="U12" s="88">
        <v>120.8</v>
      </c>
      <c r="V12" s="68">
        <v>119</v>
      </c>
      <c r="W12" s="88">
        <v>123.5</v>
      </c>
      <c r="X12" s="88">
        <v>130.80000000000001</v>
      </c>
      <c r="Y12" s="68">
        <v>127.9</v>
      </c>
      <c r="Z12" s="88">
        <v>81.5</v>
      </c>
      <c r="AA12" s="88">
        <v>123.2</v>
      </c>
      <c r="AB12" s="88">
        <v>124.5</v>
      </c>
      <c r="AC12" s="88">
        <v>123.3</v>
      </c>
      <c r="AD12" s="88">
        <v>125.1</v>
      </c>
      <c r="AE12" s="88">
        <v>117.4</v>
      </c>
      <c r="AF12" s="68">
        <v>106.4</v>
      </c>
      <c r="AG12" s="88">
        <v>55.8</v>
      </c>
      <c r="AH12" s="88">
        <v>118.2</v>
      </c>
      <c r="AI12" s="87">
        <v>122.9</v>
      </c>
      <c r="AJ12" s="89">
        <v>101</v>
      </c>
      <c r="AK12" s="87">
        <v>123.5</v>
      </c>
      <c r="AL12" s="87">
        <v>115.3</v>
      </c>
      <c r="AM12" s="89">
        <v>97</v>
      </c>
      <c r="AN12" s="89">
        <v>86.3</v>
      </c>
      <c r="AO12" s="89">
        <v>118.5</v>
      </c>
      <c r="AP12" s="89">
        <v>127.5</v>
      </c>
      <c r="AQ12" s="89">
        <v>114.8</v>
      </c>
      <c r="AR12" s="89">
        <v>112.9</v>
      </c>
      <c r="AS12" s="89">
        <v>107</v>
      </c>
      <c r="AT12" s="89">
        <v>103.3</v>
      </c>
      <c r="AU12" s="87">
        <v>93.3</v>
      </c>
      <c r="AV12" s="89">
        <v>129</v>
      </c>
      <c r="AW12" s="87">
        <v>127.3</v>
      </c>
      <c r="AX12" s="87">
        <v>119.8</v>
      </c>
      <c r="AY12" s="89">
        <v>104</v>
      </c>
      <c r="AZ12" s="89">
        <v>116</v>
      </c>
      <c r="BA12" s="89">
        <v>83.5</v>
      </c>
      <c r="BB12" s="89">
        <v>123.6</v>
      </c>
      <c r="BC12" s="89">
        <v>121.6</v>
      </c>
      <c r="BD12" s="89">
        <v>117.6</v>
      </c>
      <c r="BE12" s="89">
        <v>111.5</v>
      </c>
      <c r="BF12" s="89">
        <v>102.2</v>
      </c>
      <c r="BG12" s="89">
        <v>115.8</v>
      </c>
      <c r="BH12" s="89">
        <v>65.099999999999994</v>
      </c>
      <c r="BI12" s="89">
        <v>117.7</v>
      </c>
      <c r="BJ12" s="89">
        <v>126</v>
      </c>
      <c r="BK12" s="89">
        <v>120.5</v>
      </c>
      <c r="BL12" s="89">
        <v>128.4</v>
      </c>
      <c r="BM12" s="89">
        <v>124.6</v>
      </c>
      <c r="BN12" s="89">
        <v>121.7</v>
      </c>
      <c r="BO12" s="89">
        <v>78</v>
      </c>
      <c r="BP12" s="89">
        <v>128.1</v>
      </c>
      <c r="BQ12" s="89">
        <v>128.80000000000001</v>
      </c>
      <c r="BR12" s="89">
        <v>124.1</v>
      </c>
      <c r="BS12" s="89">
        <v>118</v>
      </c>
      <c r="BT12" s="89">
        <v>104.9</v>
      </c>
      <c r="BU12" s="89">
        <v>100.2</v>
      </c>
      <c r="BV12" s="89">
        <v>73.3</v>
      </c>
      <c r="BW12" s="89">
        <v>111.4</v>
      </c>
      <c r="BX12" s="89">
        <v>125.1</v>
      </c>
      <c r="BY12" s="89">
        <v>116</v>
      </c>
      <c r="BZ12" s="89">
        <v>116.7</v>
      </c>
      <c r="CA12" s="89">
        <v>123.2</v>
      </c>
      <c r="CB12" s="89">
        <v>112.7</v>
      </c>
      <c r="CC12" s="89">
        <v>73.099999999999994</v>
      </c>
      <c r="CD12" s="89">
        <v>110.9</v>
      </c>
      <c r="CE12" s="89">
        <v>116.5</v>
      </c>
      <c r="CF12" s="89">
        <v>119.6</v>
      </c>
      <c r="CG12" s="89">
        <v>117.6</v>
      </c>
      <c r="CH12" s="89">
        <v>142.6</v>
      </c>
      <c r="CI12" s="89">
        <v>72.599999999999994</v>
      </c>
      <c r="CJ12" s="89">
        <v>100.4</v>
      </c>
      <c r="CK12" s="89">
        <v>107.1</v>
      </c>
      <c r="CL12" s="89">
        <v>114.9</v>
      </c>
      <c r="CM12" s="89">
        <v>108.7</v>
      </c>
      <c r="CN12" s="89">
        <v>128.69999999999999</v>
      </c>
      <c r="CO12" s="89">
        <v>118.6</v>
      </c>
      <c r="CP12" s="89">
        <v>82.5</v>
      </c>
      <c r="CQ12" s="89">
        <v>111.4</v>
      </c>
      <c r="CR12" s="89">
        <v>126.1</v>
      </c>
      <c r="CS12" s="89">
        <v>109.7</v>
      </c>
      <c r="CT12" s="89">
        <v>126.3</v>
      </c>
      <c r="CU12" s="89">
        <v>121.4</v>
      </c>
      <c r="CV12" s="89">
        <v>73.099999999999994</v>
      </c>
      <c r="CW12" s="89">
        <v>126</v>
      </c>
      <c r="CX12" s="89">
        <v>127.2</v>
      </c>
      <c r="CY12" s="89">
        <v>122.7</v>
      </c>
    </row>
    <row r="13" spans="1:103">
      <c r="A13" s="543" t="s">
        <v>178</v>
      </c>
      <c r="B13" s="87">
        <v>4.3</v>
      </c>
      <c r="C13" s="87">
        <v>6.4</v>
      </c>
      <c r="D13" s="87">
        <v>5.9</v>
      </c>
      <c r="E13" s="87">
        <v>8</v>
      </c>
      <c r="F13" s="87">
        <v>7.2</v>
      </c>
      <c r="G13" s="87">
        <v>4.9000000000000004</v>
      </c>
      <c r="H13" s="87">
        <v>6.4</v>
      </c>
      <c r="I13" s="87">
        <v>9</v>
      </c>
      <c r="J13" s="87">
        <v>8.3000000000000007</v>
      </c>
      <c r="K13" s="87">
        <v>7.6</v>
      </c>
      <c r="L13" s="87">
        <v>7.7</v>
      </c>
      <c r="M13" s="87">
        <v>5.8</v>
      </c>
      <c r="N13" s="87">
        <v>4.3</v>
      </c>
      <c r="O13" s="87">
        <v>7.8</v>
      </c>
      <c r="P13" s="87">
        <v>7.8</v>
      </c>
      <c r="Q13" s="88">
        <v>10.199999999999999</v>
      </c>
      <c r="R13" s="88">
        <v>10.5</v>
      </c>
      <c r="S13" s="88">
        <v>10.1</v>
      </c>
      <c r="T13" s="88">
        <v>6.4</v>
      </c>
      <c r="U13" s="88">
        <v>6.1</v>
      </c>
      <c r="V13" s="88">
        <v>8.3000000000000007</v>
      </c>
      <c r="W13" s="88">
        <v>9.4</v>
      </c>
      <c r="X13" s="88">
        <v>10.9</v>
      </c>
      <c r="Y13" s="88">
        <v>12.1</v>
      </c>
      <c r="Z13" s="88">
        <v>7.6</v>
      </c>
      <c r="AA13" s="68">
        <v>7</v>
      </c>
      <c r="AB13" s="88">
        <v>10.6</v>
      </c>
      <c r="AC13" s="68">
        <v>7.9</v>
      </c>
      <c r="AD13" s="88">
        <v>6.5</v>
      </c>
      <c r="AE13" s="68">
        <v>6</v>
      </c>
      <c r="AF13" s="88">
        <v>7.2</v>
      </c>
      <c r="AG13" s="68">
        <v>5</v>
      </c>
      <c r="AH13" s="88">
        <v>9.1999999999999993</v>
      </c>
      <c r="AI13" s="87">
        <v>10.6</v>
      </c>
      <c r="AJ13" s="87">
        <v>11.5</v>
      </c>
      <c r="AK13" s="87">
        <v>7.6</v>
      </c>
      <c r="AL13" s="87">
        <v>5.0999999999999996</v>
      </c>
      <c r="AM13" s="89">
        <v>6</v>
      </c>
      <c r="AN13" s="89">
        <v>5.6</v>
      </c>
      <c r="AO13" s="89">
        <v>7.1</v>
      </c>
      <c r="AP13" s="89">
        <v>6.5</v>
      </c>
      <c r="AQ13" s="89">
        <v>7.9</v>
      </c>
      <c r="AR13" s="89">
        <v>6.7</v>
      </c>
      <c r="AS13" s="89">
        <v>7.4</v>
      </c>
      <c r="AT13" s="89">
        <v>9.1999999999999993</v>
      </c>
      <c r="AU13" s="89">
        <v>4.8</v>
      </c>
      <c r="AV13" s="89">
        <v>6.4</v>
      </c>
      <c r="AW13" s="89">
        <v>8.6</v>
      </c>
      <c r="AX13" s="89">
        <v>7.5</v>
      </c>
      <c r="AY13" s="89">
        <v>6.2</v>
      </c>
      <c r="AZ13" s="89">
        <v>7.4</v>
      </c>
      <c r="BA13" s="89">
        <v>5.7</v>
      </c>
      <c r="BB13" s="89">
        <v>6.7</v>
      </c>
      <c r="BC13" s="89">
        <v>7.4</v>
      </c>
      <c r="BD13" s="89">
        <v>6</v>
      </c>
      <c r="BE13" s="89">
        <v>6.6</v>
      </c>
      <c r="BF13" s="89">
        <v>8.3000000000000007</v>
      </c>
      <c r="BG13" s="89">
        <v>11.3</v>
      </c>
      <c r="BH13" s="89">
        <v>6.8</v>
      </c>
      <c r="BI13" s="89">
        <v>7.4</v>
      </c>
      <c r="BJ13" s="89">
        <v>11.8</v>
      </c>
      <c r="BK13" s="89">
        <v>8.6999999999999993</v>
      </c>
      <c r="BL13" s="89">
        <v>10.4</v>
      </c>
      <c r="BM13" s="89">
        <v>9.8000000000000007</v>
      </c>
      <c r="BN13" s="89">
        <v>9.6</v>
      </c>
      <c r="BO13" s="89">
        <v>7.4</v>
      </c>
      <c r="BP13" s="89">
        <v>7.5</v>
      </c>
      <c r="BQ13" s="89">
        <v>9</v>
      </c>
      <c r="BR13" s="89">
        <v>9</v>
      </c>
      <c r="BS13" s="89">
        <v>9.1</v>
      </c>
      <c r="BT13" s="89">
        <v>8.9</v>
      </c>
      <c r="BU13" s="89">
        <v>9.6999999999999993</v>
      </c>
      <c r="BV13" s="89">
        <v>3.1</v>
      </c>
      <c r="BW13" s="89">
        <v>8.6</v>
      </c>
      <c r="BX13" s="89">
        <v>8.4</v>
      </c>
      <c r="BY13" s="89">
        <v>9.1</v>
      </c>
      <c r="BZ13" s="89">
        <v>7.4</v>
      </c>
      <c r="CA13" s="89">
        <v>8.1999999999999993</v>
      </c>
      <c r="CB13" s="89">
        <v>8.8000000000000007</v>
      </c>
      <c r="CC13" s="89">
        <v>2.6</v>
      </c>
      <c r="CD13" s="89">
        <v>8.1</v>
      </c>
      <c r="CE13" s="89">
        <v>6</v>
      </c>
      <c r="CF13" s="89">
        <v>7.4</v>
      </c>
      <c r="CG13" s="89">
        <v>9.1999999999999993</v>
      </c>
      <c r="CH13" s="89">
        <v>9.6999999999999993</v>
      </c>
      <c r="CI13" s="89">
        <v>3.7</v>
      </c>
      <c r="CJ13" s="89">
        <v>8.1</v>
      </c>
      <c r="CK13" s="89">
        <v>7.5</v>
      </c>
      <c r="CL13" s="89">
        <v>7.7</v>
      </c>
      <c r="CM13" s="89">
        <v>7.1</v>
      </c>
      <c r="CN13" s="89">
        <v>8.1</v>
      </c>
      <c r="CO13" s="89">
        <v>7.6</v>
      </c>
      <c r="CP13" s="89">
        <v>2.9</v>
      </c>
      <c r="CQ13" s="89">
        <v>9.4</v>
      </c>
      <c r="CR13" s="89">
        <v>9.4</v>
      </c>
      <c r="CS13" s="89">
        <v>7.5</v>
      </c>
      <c r="CT13" s="89">
        <v>9.5</v>
      </c>
      <c r="CU13" s="89">
        <v>8</v>
      </c>
      <c r="CV13" s="89">
        <v>6.3</v>
      </c>
      <c r="CW13" s="89">
        <v>8.4</v>
      </c>
      <c r="CX13" s="89">
        <v>8.1999999999999993</v>
      </c>
      <c r="CY13" s="89">
        <v>8.3000000000000007</v>
      </c>
    </row>
    <row r="14" spans="1:103" ht="16.5" customHeight="1">
      <c r="A14" s="538" t="s">
        <v>78</v>
      </c>
      <c r="B14" s="90"/>
      <c r="C14" s="90"/>
      <c r="D14" s="90"/>
      <c r="E14" s="91"/>
      <c r="F14" s="91"/>
      <c r="G14" s="91"/>
      <c r="H14" s="91"/>
      <c r="I14" s="91"/>
      <c r="J14" s="91"/>
      <c r="K14" s="91"/>
      <c r="L14" s="91"/>
      <c r="M14" s="91"/>
      <c r="N14" s="91"/>
      <c r="O14" s="91"/>
      <c r="P14" s="91"/>
      <c r="Q14" s="92"/>
      <c r="R14" s="92"/>
      <c r="S14" s="92"/>
      <c r="T14" s="92"/>
      <c r="U14" s="92"/>
      <c r="V14" s="92"/>
      <c r="W14" s="92"/>
      <c r="X14" s="92"/>
      <c r="Y14" s="92"/>
      <c r="Z14" s="92"/>
      <c r="AA14" s="92"/>
      <c r="AB14" s="92"/>
      <c r="AC14" s="92"/>
      <c r="AD14" s="92"/>
      <c r="AE14" s="92"/>
      <c r="AF14" s="93"/>
      <c r="AG14" s="93"/>
      <c r="AH14" s="93"/>
      <c r="AU14" s="89"/>
      <c r="AV14" s="87"/>
      <c r="AW14" s="89"/>
      <c r="AX14" s="87"/>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c r="CQ14" s="89"/>
      <c r="CR14" s="89"/>
      <c r="CS14" s="89"/>
      <c r="CT14" s="89"/>
      <c r="CU14" s="89"/>
      <c r="CV14" s="89"/>
      <c r="CW14" s="89"/>
      <c r="CX14" s="89"/>
      <c r="CY14" s="89"/>
    </row>
    <row r="15" spans="1:103">
      <c r="A15" s="543" t="s">
        <v>175</v>
      </c>
      <c r="B15" s="87">
        <v>7.5</v>
      </c>
      <c r="C15" s="87">
        <v>6.3</v>
      </c>
      <c r="D15" s="87">
        <v>6.3</v>
      </c>
      <c r="E15" s="87">
        <v>6.9</v>
      </c>
      <c r="F15" s="87">
        <v>8.8000000000000007</v>
      </c>
      <c r="G15" s="87">
        <v>6.9</v>
      </c>
      <c r="H15" s="87">
        <v>6.6</v>
      </c>
      <c r="I15" s="87">
        <v>5.9</v>
      </c>
      <c r="J15" s="87">
        <v>5.6</v>
      </c>
      <c r="K15" s="87">
        <v>5.9</v>
      </c>
      <c r="L15" s="87">
        <v>5.7</v>
      </c>
      <c r="M15" s="87">
        <v>6.4</v>
      </c>
      <c r="N15" s="87">
        <v>5.3</v>
      </c>
      <c r="O15" s="87">
        <v>4.8</v>
      </c>
      <c r="P15" s="89">
        <v>6.21</v>
      </c>
      <c r="Q15" s="88">
        <v>6.3</v>
      </c>
      <c r="R15" s="68">
        <v>7</v>
      </c>
      <c r="S15" s="88">
        <v>6.4</v>
      </c>
      <c r="T15" s="88">
        <v>7.2</v>
      </c>
      <c r="U15" s="88">
        <v>6.8</v>
      </c>
      <c r="V15" s="88">
        <v>7.5</v>
      </c>
      <c r="W15" s="88">
        <v>6.3</v>
      </c>
      <c r="X15" s="88">
        <v>6.1</v>
      </c>
      <c r="Y15" s="88">
        <v>6.6</v>
      </c>
      <c r="Z15" s="88">
        <v>4.5999999999999996</v>
      </c>
      <c r="AA15" s="88">
        <v>4.5999999999999996</v>
      </c>
      <c r="AB15" s="68">
        <v>5</v>
      </c>
      <c r="AC15" s="68">
        <v>5</v>
      </c>
      <c r="AD15" s="68">
        <v>4.8</v>
      </c>
      <c r="AE15" s="68">
        <v>6.7</v>
      </c>
      <c r="AF15" s="88">
        <v>6.4</v>
      </c>
      <c r="AG15" s="68">
        <v>6.2</v>
      </c>
      <c r="AH15" s="88">
        <v>5.9</v>
      </c>
      <c r="AI15" s="87">
        <v>5.7</v>
      </c>
      <c r="AJ15" s="89">
        <v>6</v>
      </c>
      <c r="AK15" s="87">
        <v>6.1</v>
      </c>
      <c r="AL15" s="87">
        <v>5.5</v>
      </c>
      <c r="AM15" s="87">
        <v>4.9000000000000004</v>
      </c>
      <c r="AN15" s="87">
        <v>5.8</v>
      </c>
      <c r="AO15" s="87">
        <v>6.5</v>
      </c>
      <c r="AP15" s="87">
        <v>6.6</v>
      </c>
      <c r="AQ15" s="87">
        <v>6.9</v>
      </c>
      <c r="AR15" s="87">
        <v>5.9</v>
      </c>
      <c r="AS15" s="87">
        <v>6.4</v>
      </c>
      <c r="AT15" s="87">
        <v>6.7</v>
      </c>
      <c r="AU15" s="89">
        <v>5.8</v>
      </c>
      <c r="AV15" s="89">
        <v>5.0999999999999996</v>
      </c>
      <c r="AW15" s="89">
        <v>5.5</v>
      </c>
      <c r="AX15" s="89">
        <v>6.9</v>
      </c>
      <c r="AY15" s="89">
        <v>5.7</v>
      </c>
      <c r="AZ15" s="89">
        <v>5.7</v>
      </c>
      <c r="BA15" s="89">
        <v>7.1</v>
      </c>
      <c r="BB15" s="89">
        <v>6.2</v>
      </c>
      <c r="BC15" s="89">
        <v>5.3</v>
      </c>
      <c r="BD15" s="89">
        <v>3.6</v>
      </c>
      <c r="BE15" s="89">
        <v>3.2</v>
      </c>
      <c r="BF15" s="89">
        <v>3.5</v>
      </c>
      <c r="BG15" s="89">
        <v>2.6</v>
      </c>
      <c r="BH15" s="89">
        <v>2.9</v>
      </c>
      <c r="BI15" s="89">
        <v>3.4</v>
      </c>
      <c r="BJ15" s="89">
        <v>3</v>
      </c>
      <c r="BK15" s="89">
        <v>2.2999999999999998</v>
      </c>
      <c r="BL15" s="89">
        <v>2.2999999999999998</v>
      </c>
      <c r="BM15" s="89">
        <v>2.7</v>
      </c>
      <c r="BN15" s="89">
        <v>2.7</v>
      </c>
      <c r="BO15" s="89">
        <v>2.4</v>
      </c>
      <c r="BP15" s="89">
        <v>2.6</v>
      </c>
      <c r="BQ15" s="89">
        <v>2.6</v>
      </c>
      <c r="BR15" s="89">
        <v>3.4</v>
      </c>
      <c r="BS15" s="89">
        <v>3.2</v>
      </c>
      <c r="BT15" s="89">
        <v>6</v>
      </c>
      <c r="BU15" s="89">
        <v>6.7</v>
      </c>
      <c r="BV15" s="89">
        <v>5.3</v>
      </c>
      <c r="BW15" s="89">
        <v>5.4</v>
      </c>
      <c r="BX15" s="89">
        <v>5.3</v>
      </c>
      <c r="BY15" s="89">
        <v>5.0999999999999996</v>
      </c>
      <c r="BZ15" s="89">
        <v>5.2</v>
      </c>
      <c r="CA15" s="89">
        <v>3.1</v>
      </c>
      <c r="CB15" s="89">
        <v>5.6</v>
      </c>
      <c r="CC15" s="89">
        <v>5.4</v>
      </c>
      <c r="CD15" s="89">
        <v>5</v>
      </c>
      <c r="CE15" s="89">
        <v>6.3</v>
      </c>
      <c r="CF15" s="89">
        <v>4.8</v>
      </c>
      <c r="CG15" s="89">
        <v>3.9</v>
      </c>
      <c r="CH15" s="89">
        <v>4.5999999999999996</v>
      </c>
      <c r="CI15" s="89">
        <v>4.2</v>
      </c>
      <c r="CJ15" s="89">
        <v>5.7</v>
      </c>
      <c r="CK15" s="89">
        <v>5.6</v>
      </c>
      <c r="CL15" s="89">
        <v>4.9000000000000004</v>
      </c>
      <c r="CM15" s="89">
        <v>4.4000000000000004</v>
      </c>
      <c r="CN15" s="89">
        <v>4</v>
      </c>
      <c r="CO15" s="89">
        <v>4.4000000000000004</v>
      </c>
      <c r="CP15" s="89">
        <v>3.1</v>
      </c>
      <c r="CQ15" s="89">
        <v>3.6</v>
      </c>
      <c r="CR15" s="89">
        <v>3.8</v>
      </c>
      <c r="CS15" s="89">
        <v>4.2</v>
      </c>
      <c r="CT15" s="89">
        <v>3.4</v>
      </c>
      <c r="CU15" s="89">
        <v>2.5</v>
      </c>
      <c r="CV15" s="89">
        <v>4.0999999999999996</v>
      </c>
      <c r="CW15" s="89">
        <v>3.6</v>
      </c>
      <c r="CX15" s="89">
        <v>2.6</v>
      </c>
      <c r="CY15" s="89">
        <v>3.1</v>
      </c>
    </row>
    <row r="16" spans="1:103">
      <c r="A16" s="543" t="s">
        <v>178</v>
      </c>
      <c r="B16" s="87">
        <v>6.4</v>
      </c>
      <c r="C16" s="87">
        <v>5.0999999999999996</v>
      </c>
      <c r="D16" s="87">
        <v>4.3</v>
      </c>
      <c r="E16" s="87">
        <v>5.8</v>
      </c>
      <c r="F16" s="87">
        <v>6.8</v>
      </c>
      <c r="G16" s="87">
        <v>6.1</v>
      </c>
      <c r="H16" s="87">
        <v>6.3</v>
      </c>
      <c r="I16" s="87">
        <v>5.8</v>
      </c>
      <c r="J16" s="87">
        <v>4.5</v>
      </c>
      <c r="K16" s="87">
        <v>5.6</v>
      </c>
      <c r="L16" s="87">
        <v>4.9000000000000004</v>
      </c>
      <c r="M16" s="87">
        <v>5.9</v>
      </c>
      <c r="N16" s="87">
        <v>5.4</v>
      </c>
      <c r="O16" s="89">
        <v>5</v>
      </c>
      <c r="P16" s="89">
        <v>7.44</v>
      </c>
      <c r="Q16" s="88">
        <v>7.5</v>
      </c>
      <c r="R16" s="88">
        <v>6.7</v>
      </c>
      <c r="S16" s="88">
        <v>6.9</v>
      </c>
      <c r="T16" s="88">
        <v>7.5</v>
      </c>
      <c r="U16" s="88">
        <v>8.8000000000000007</v>
      </c>
      <c r="V16" s="88">
        <v>7.7</v>
      </c>
      <c r="W16" s="88">
        <v>6.8</v>
      </c>
      <c r="X16" s="88">
        <v>7.6</v>
      </c>
      <c r="Y16" s="88">
        <v>7.8</v>
      </c>
      <c r="Z16" s="88">
        <v>5.3</v>
      </c>
      <c r="AA16" s="88">
        <v>5.7</v>
      </c>
      <c r="AB16" s="88">
        <v>6.8</v>
      </c>
      <c r="AC16" s="88">
        <v>6.7</v>
      </c>
      <c r="AD16" s="68">
        <v>7.1</v>
      </c>
      <c r="AE16" s="88">
        <v>6.7</v>
      </c>
      <c r="AF16" s="88">
        <v>5.4</v>
      </c>
      <c r="AG16" s="88">
        <v>6.4</v>
      </c>
      <c r="AH16" s="88">
        <v>4.4000000000000004</v>
      </c>
      <c r="AI16" s="87">
        <v>3.7</v>
      </c>
      <c r="AJ16" s="87">
        <v>3.9</v>
      </c>
      <c r="AK16" s="89">
        <v>4</v>
      </c>
      <c r="AL16" s="87">
        <v>3.3</v>
      </c>
      <c r="AM16" s="87">
        <v>3.7</v>
      </c>
      <c r="AN16" s="87">
        <v>5.2</v>
      </c>
      <c r="AO16" s="87">
        <v>4.8</v>
      </c>
      <c r="AP16" s="87">
        <v>4.3</v>
      </c>
      <c r="AQ16" s="89">
        <v>5</v>
      </c>
      <c r="AR16" s="89">
        <v>4.2</v>
      </c>
      <c r="AS16" s="89">
        <v>4.8</v>
      </c>
      <c r="AT16" s="89">
        <v>4.8</v>
      </c>
      <c r="AU16" s="87">
        <v>4.0999999999999996</v>
      </c>
      <c r="AV16" s="87">
        <v>3.6</v>
      </c>
      <c r="AW16" s="87">
        <v>3.6</v>
      </c>
      <c r="AX16" s="87">
        <v>5.5</v>
      </c>
      <c r="AY16" s="87">
        <v>4.5999999999999996</v>
      </c>
      <c r="AZ16" s="89">
        <v>5</v>
      </c>
      <c r="BA16" s="87">
        <v>7.4</v>
      </c>
      <c r="BB16" s="87">
        <v>6.9</v>
      </c>
      <c r="BC16" s="87">
        <v>5.4</v>
      </c>
      <c r="BD16" s="87">
        <v>3.4</v>
      </c>
      <c r="BE16" s="87">
        <v>3.6</v>
      </c>
      <c r="BF16" s="87">
        <v>3.5</v>
      </c>
      <c r="BG16" s="87">
        <v>3.7</v>
      </c>
      <c r="BH16" s="87">
        <v>4.0999999999999996</v>
      </c>
      <c r="BI16" s="87">
        <v>2.9</v>
      </c>
      <c r="BJ16" s="87">
        <v>2.8</v>
      </c>
      <c r="BK16" s="87">
        <v>3.4</v>
      </c>
      <c r="BL16" s="87">
        <v>2.9</v>
      </c>
      <c r="BM16" s="87">
        <v>1.8</v>
      </c>
      <c r="BN16" s="87">
        <v>4.4000000000000004</v>
      </c>
      <c r="BO16" s="87">
        <v>3.1</v>
      </c>
      <c r="BP16" s="87">
        <v>2.6</v>
      </c>
      <c r="BQ16" s="89">
        <v>1.9</v>
      </c>
      <c r="BR16" s="87">
        <v>3.2</v>
      </c>
      <c r="BS16" s="87">
        <v>3.1</v>
      </c>
      <c r="BT16" s="89">
        <v>5</v>
      </c>
      <c r="BU16" s="87">
        <v>6.4</v>
      </c>
      <c r="BV16" s="87">
        <v>4.9000000000000004</v>
      </c>
      <c r="BW16" s="87">
        <v>4.5</v>
      </c>
      <c r="BX16" s="87">
        <v>4.8</v>
      </c>
      <c r="BY16" s="87">
        <v>4.3</v>
      </c>
      <c r="BZ16" s="87">
        <v>4.5999999999999996</v>
      </c>
      <c r="CA16" s="87">
        <v>2.6</v>
      </c>
      <c r="CB16" s="87">
        <v>5.2</v>
      </c>
      <c r="CC16" s="87">
        <v>4.4000000000000004</v>
      </c>
      <c r="CD16" s="87">
        <v>4.2</v>
      </c>
      <c r="CE16" s="87">
        <v>5.3</v>
      </c>
      <c r="CF16" s="87">
        <v>4.5999999999999996</v>
      </c>
      <c r="CG16" s="87">
        <v>4.2</v>
      </c>
      <c r="CH16" s="87">
        <v>4.2</v>
      </c>
      <c r="CI16" s="87">
        <v>4.4000000000000004</v>
      </c>
      <c r="CJ16" s="87">
        <v>4.8</v>
      </c>
      <c r="CK16" s="89">
        <v>5</v>
      </c>
      <c r="CL16" s="87">
        <v>3.4</v>
      </c>
      <c r="CM16" s="87">
        <v>3.5</v>
      </c>
      <c r="CN16" s="87">
        <v>3.4</v>
      </c>
      <c r="CO16" s="87">
        <v>2.9</v>
      </c>
      <c r="CP16" s="87">
        <v>2.7</v>
      </c>
      <c r="CQ16" s="87">
        <v>2.8</v>
      </c>
      <c r="CR16" s="87">
        <v>3.2</v>
      </c>
      <c r="CS16" s="89">
        <v>3</v>
      </c>
      <c r="CT16" s="89">
        <v>3</v>
      </c>
      <c r="CU16" s="87">
        <v>2.2999999999999998</v>
      </c>
      <c r="CV16" s="89">
        <v>3</v>
      </c>
      <c r="CW16" s="89">
        <v>3</v>
      </c>
      <c r="CX16" s="89">
        <v>2.2000000000000002</v>
      </c>
      <c r="CY16" s="89">
        <v>2.1</v>
      </c>
    </row>
    <row r="17" spans="1:103">
      <c r="A17" s="543" t="s">
        <v>320</v>
      </c>
      <c r="B17" s="87">
        <v>0.02</v>
      </c>
      <c r="C17" s="87">
        <v>0.01</v>
      </c>
      <c r="D17" s="87">
        <v>0.03</v>
      </c>
      <c r="E17" s="87">
        <v>0.05</v>
      </c>
      <c r="F17" s="87">
        <v>0.03</v>
      </c>
      <c r="G17" s="87">
        <v>0.05</v>
      </c>
      <c r="H17" s="87">
        <v>0.06</v>
      </c>
      <c r="I17" s="87">
        <v>0.12</v>
      </c>
      <c r="J17" s="87">
        <v>0.05</v>
      </c>
      <c r="K17" s="87">
        <v>0.04</v>
      </c>
      <c r="L17" s="87">
        <v>0.09</v>
      </c>
      <c r="M17" s="87">
        <v>0.06</v>
      </c>
      <c r="N17" s="87">
        <v>0.02</v>
      </c>
      <c r="O17" s="87">
        <v>0.08</v>
      </c>
      <c r="P17" s="87">
        <v>0.1</v>
      </c>
      <c r="Q17" s="94">
        <v>0.12</v>
      </c>
      <c r="R17" s="88">
        <v>0.13</v>
      </c>
      <c r="S17" s="88">
        <v>0.05</v>
      </c>
      <c r="T17" s="88">
        <v>0.05</v>
      </c>
      <c r="U17" s="88">
        <v>0.02</v>
      </c>
      <c r="V17" s="88">
        <v>0.02</v>
      </c>
      <c r="W17" s="88">
        <v>4.7E-2</v>
      </c>
      <c r="X17" s="88">
        <v>7.0000000000000007E-2</v>
      </c>
      <c r="Y17" s="88">
        <v>0.06</v>
      </c>
      <c r="Z17" s="88">
        <v>0.06</v>
      </c>
      <c r="AA17" s="88">
        <v>0.08</v>
      </c>
      <c r="AB17" s="88">
        <v>0.04</v>
      </c>
      <c r="AC17" s="88">
        <v>0.04</v>
      </c>
      <c r="AD17" s="88">
        <v>0.03</v>
      </c>
      <c r="AE17" s="88">
        <v>0.06</v>
      </c>
      <c r="AF17" s="68">
        <v>0.02</v>
      </c>
      <c r="AG17" s="88">
        <v>0.03</v>
      </c>
      <c r="AH17" s="88">
        <v>0.01</v>
      </c>
      <c r="AI17" s="87">
        <v>2E-3</v>
      </c>
      <c r="AJ17" s="87">
        <v>0.03</v>
      </c>
      <c r="AK17" s="87">
        <v>0.02</v>
      </c>
      <c r="AL17" s="87" t="s">
        <v>32</v>
      </c>
      <c r="AM17" s="87" t="s">
        <v>32</v>
      </c>
      <c r="AN17" s="128" t="s">
        <v>15</v>
      </c>
      <c r="AO17" s="128" t="s">
        <v>15</v>
      </c>
      <c r="AP17" s="128" t="s">
        <v>15</v>
      </c>
      <c r="AQ17" s="128" t="s">
        <v>15</v>
      </c>
      <c r="AR17" s="128" t="s">
        <v>15</v>
      </c>
      <c r="AS17" s="128" t="s">
        <v>15</v>
      </c>
      <c r="AT17" s="128" t="s">
        <v>15</v>
      </c>
      <c r="AU17" s="150" t="s">
        <v>15</v>
      </c>
      <c r="AV17" s="150" t="s">
        <v>15</v>
      </c>
      <c r="AW17" s="150" t="s">
        <v>15</v>
      </c>
      <c r="AX17" s="150" t="s">
        <v>15</v>
      </c>
      <c r="AY17" s="150" t="s">
        <v>15</v>
      </c>
      <c r="AZ17" s="150" t="s">
        <v>15</v>
      </c>
      <c r="BA17" s="150" t="s">
        <v>15</v>
      </c>
      <c r="BB17" s="150" t="s">
        <v>15</v>
      </c>
      <c r="BC17" s="150" t="s">
        <v>15</v>
      </c>
      <c r="BD17" s="150" t="s">
        <v>15</v>
      </c>
      <c r="BE17" s="150" t="s">
        <v>15</v>
      </c>
      <c r="BF17" s="150" t="s">
        <v>15</v>
      </c>
      <c r="BG17" s="150" t="s">
        <v>15</v>
      </c>
      <c r="BH17" s="150" t="s">
        <v>15</v>
      </c>
      <c r="BI17" s="150" t="s">
        <v>15</v>
      </c>
      <c r="BJ17" s="150" t="s">
        <v>15</v>
      </c>
      <c r="BK17" s="150" t="s">
        <v>15</v>
      </c>
      <c r="BL17" s="150" t="s">
        <v>15</v>
      </c>
      <c r="BM17" s="150" t="s">
        <v>15</v>
      </c>
      <c r="BN17" s="150" t="s">
        <v>15</v>
      </c>
      <c r="BO17" s="150" t="s">
        <v>15</v>
      </c>
      <c r="BP17" s="150" t="s">
        <v>15</v>
      </c>
      <c r="BQ17" s="150" t="s">
        <v>15</v>
      </c>
      <c r="BR17" s="150" t="s">
        <v>15</v>
      </c>
      <c r="BS17" s="150" t="s">
        <v>15</v>
      </c>
      <c r="BT17" s="150" t="s">
        <v>15</v>
      </c>
      <c r="BU17" s="150" t="s">
        <v>15</v>
      </c>
      <c r="BV17" s="150" t="s">
        <v>15</v>
      </c>
      <c r="BW17" s="150" t="s">
        <v>15</v>
      </c>
      <c r="BX17" s="150" t="s">
        <v>15</v>
      </c>
      <c r="BY17" s="150" t="s">
        <v>15</v>
      </c>
      <c r="BZ17" s="150" t="s">
        <v>15</v>
      </c>
      <c r="CA17" s="150" t="s">
        <v>15</v>
      </c>
      <c r="CB17" s="150" t="s">
        <v>15</v>
      </c>
      <c r="CC17" s="150" t="s">
        <v>15</v>
      </c>
      <c r="CD17" s="150" t="s">
        <v>15</v>
      </c>
      <c r="CE17" s="150" t="s">
        <v>15</v>
      </c>
      <c r="CF17" s="150" t="s">
        <v>15</v>
      </c>
      <c r="CG17" s="150" t="s">
        <v>15</v>
      </c>
      <c r="CH17" s="150" t="s">
        <v>15</v>
      </c>
      <c r="CI17" s="150" t="s">
        <v>15</v>
      </c>
      <c r="CJ17" s="150" t="s">
        <v>15</v>
      </c>
      <c r="CK17" s="150" t="s">
        <v>15</v>
      </c>
      <c r="CL17" s="150" t="s">
        <v>15</v>
      </c>
      <c r="CM17" s="150" t="s">
        <v>15</v>
      </c>
      <c r="CN17" s="150" t="s">
        <v>15</v>
      </c>
      <c r="CO17" s="150" t="s">
        <v>15</v>
      </c>
      <c r="CP17" s="150" t="s">
        <v>15</v>
      </c>
      <c r="CQ17" s="150" t="s">
        <v>15</v>
      </c>
      <c r="CR17" s="150" t="s">
        <v>15</v>
      </c>
      <c r="CS17" s="150" t="s">
        <v>15</v>
      </c>
      <c r="CT17" s="150" t="s">
        <v>15</v>
      </c>
      <c r="CU17" s="150" t="s">
        <v>15</v>
      </c>
      <c r="CV17" s="150" t="s">
        <v>15</v>
      </c>
      <c r="CW17" s="150" t="s">
        <v>15</v>
      </c>
      <c r="CX17" s="150" t="s">
        <v>15</v>
      </c>
      <c r="CY17" s="150" t="s">
        <v>15</v>
      </c>
    </row>
    <row r="18" spans="1:103" ht="16.5" customHeight="1">
      <c r="A18" s="538" t="s">
        <v>38</v>
      </c>
      <c r="B18" s="90"/>
      <c r="C18" s="90"/>
      <c r="D18" s="90"/>
      <c r="E18" s="91"/>
      <c r="F18" s="91"/>
      <c r="G18" s="91"/>
      <c r="H18" s="91"/>
      <c r="I18" s="91"/>
      <c r="J18" s="91"/>
      <c r="K18" s="91"/>
      <c r="L18" s="91"/>
      <c r="M18" s="91"/>
      <c r="N18" s="91"/>
      <c r="O18" s="91"/>
      <c r="P18" s="91"/>
      <c r="Q18" s="92"/>
      <c r="R18" s="92"/>
      <c r="S18" s="92"/>
      <c r="T18" s="92"/>
      <c r="U18" s="92"/>
      <c r="V18" s="92"/>
      <c r="W18" s="92"/>
      <c r="X18" s="92"/>
      <c r="Y18" s="92"/>
      <c r="Z18" s="92"/>
      <c r="AA18" s="92"/>
      <c r="AB18" s="92"/>
      <c r="AC18" s="92"/>
      <c r="AD18" s="92"/>
      <c r="AE18" s="92"/>
      <c r="AF18" s="88"/>
      <c r="AG18" s="88"/>
      <c r="AH18" s="88"/>
      <c r="AU18" s="89"/>
      <c r="AV18" s="87"/>
      <c r="AW18" s="89"/>
      <c r="AX18" s="87"/>
      <c r="AY18" s="89"/>
      <c r="AZ18" s="89"/>
      <c r="BA18" s="89"/>
      <c r="BB18" s="89"/>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c r="CQ18" s="89"/>
      <c r="CR18" s="89"/>
      <c r="CS18" s="89"/>
      <c r="CT18" s="89"/>
      <c r="CU18" s="89"/>
      <c r="CV18" s="89"/>
      <c r="CW18" s="89"/>
      <c r="CX18" s="89"/>
      <c r="CY18" s="89"/>
    </row>
    <row r="19" spans="1:103">
      <c r="A19" s="543" t="s">
        <v>175</v>
      </c>
      <c r="B19" s="87">
        <v>3.6</v>
      </c>
      <c r="C19" s="87">
        <v>4.2</v>
      </c>
      <c r="D19" s="87">
        <v>4.2</v>
      </c>
      <c r="E19" s="87">
        <v>3.7</v>
      </c>
      <c r="F19" s="87">
        <v>4.5</v>
      </c>
      <c r="G19" s="87">
        <v>4.3</v>
      </c>
      <c r="H19" s="87">
        <v>4.0999999999999996</v>
      </c>
      <c r="I19" s="87">
        <v>4.5999999999999996</v>
      </c>
      <c r="J19" s="87">
        <v>4.9000000000000004</v>
      </c>
      <c r="K19" s="87">
        <v>5.5</v>
      </c>
      <c r="L19" s="89">
        <v>5</v>
      </c>
      <c r="M19" s="87">
        <v>4.5999999999999996</v>
      </c>
      <c r="N19" s="89">
        <v>5</v>
      </c>
      <c r="O19" s="87">
        <v>4.8</v>
      </c>
      <c r="P19" s="89">
        <v>5</v>
      </c>
      <c r="Q19" s="88">
        <v>4.4000000000000004</v>
      </c>
      <c r="R19" s="88">
        <v>5.2</v>
      </c>
      <c r="S19" s="88">
        <v>4.9000000000000004</v>
      </c>
      <c r="T19" s="88">
        <v>4.5999999999999996</v>
      </c>
      <c r="U19" s="88">
        <v>5.3</v>
      </c>
      <c r="V19" s="88">
        <v>5.2</v>
      </c>
      <c r="W19" s="88">
        <v>4.8</v>
      </c>
      <c r="X19" s="88">
        <v>4.5999999999999996</v>
      </c>
      <c r="Y19" s="88">
        <v>5.7</v>
      </c>
      <c r="Z19" s="88">
        <v>5.6</v>
      </c>
      <c r="AA19" s="88">
        <v>6.2</v>
      </c>
      <c r="AB19" s="88">
        <v>7.1</v>
      </c>
      <c r="AC19" s="88">
        <v>5.6</v>
      </c>
      <c r="AD19" s="88">
        <v>7.2</v>
      </c>
      <c r="AE19" s="88">
        <v>7.5</v>
      </c>
      <c r="AF19" s="88">
        <v>6.4</v>
      </c>
      <c r="AG19" s="68">
        <v>7</v>
      </c>
      <c r="AH19" s="88">
        <v>7.2</v>
      </c>
      <c r="AI19" s="87">
        <v>6.5</v>
      </c>
      <c r="AJ19" s="89">
        <v>8</v>
      </c>
      <c r="AK19" s="87">
        <v>7.3</v>
      </c>
      <c r="AL19" s="87">
        <v>6.1</v>
      </c>
      <c r="AM19" s="87">
        <v>7.3</v>
      </c>
      <c r="AN19" s="87">
        <v>9.5</v>
      </c>
      <c r="AO19" s="87">
        <v>9.8000000000000007</v>
      </c>
      <c r="AP19" s="87">
        <v>8.6999999999999993</v>
      </c>
      <c r="AQ19" s="87">
        <v>9.6999999999999993</v>
      </c>
      <c r="AR19" s="87">
        <v>9.3000000000000007</v>
      </c>
      <c r="AS19" s="87">
        <v>8.3000000000000007</v>
      </c>
      <c r="AT19" s="87">
        <v>9.6999999999999993</v>
      </c>
      <c r="AU19" s="89">
        <v>7</v>
      </c>
      <c r="AV19" s="89">
        <v>8.8000000000000007</v>
      </c>
      <c r="AW19" s="89">
        <v>10.1</v>
      </c>
      <c r="AX19" s="89">
        <v>7.7</v>
      </c>
      <c r="AY19" s="89">
        <v>8.1999999999999993</v>
      </c>
      <c r="AZ19" s="89">
        <v>8</v>
      </c>
      <c r="BA19" s="89">
        <v>6.8</v>
      </c>
      <c r="BB19" s="89">
        <v>7.7</v>
      </c>
      <c r="BC19" s="89">
        <v>6.1</v>
      </c>
      <c r="BD19" s="89">
        <v>6.9</v>
      </c>
      <c r="BE19" s="89">
        <v>8.4</v>
      </c>
      <c r="BF19" s="89">
        <v>8</v>
      </c>
      <c r="BG19" s="89">
        <v>7.7</v>
      </c>
      <c r="BH19" s="89">
        <v>7.1</v>
      </c>
      <c r="BI19" s="89">
        <v>8.3000000000000007</v>
      </c>
      <c r="BJ19" s="89">
        <v>5.7</v>
      </c>
      <c r="BK19" s="89">
        <v>5.8</v>
      </c>
      <c r="BL19" s="89">
        <v>7.5</v>
      </c>
      <c r="BM19" s="89">
        <v>6.7</v>
      </c>
      <c r="BN19" s="89">
        <v>6.8</v>
      </c>
      <c r="BO19" s="89">
        <v>7.7</v>
      </c>
      <c r="BP19" s="89">
        <v>5.2</v>
      </c>
      <c r="BQ19" s="89">
        <v>6.6</v>
      </c>
      <c r="BR19" s="89">
        <v>7.8</v>
      </c>
      <c r="BS19" s="89">
        <v>5.8</v>
      </c>
      <c r="BT19" s="89">
        <v>5.9</v>
      </c>
      <c r="BU19" s="89">
        <v>7.3</v>
      </c>
      <c r="BV19" s="89">
        <v>4.7</v>
      </c>
      <c r="BW19" s="89">
        <v>5.8</v>
      </c>
      <c r="BX19" s="89">
        <v>6.5</v>
      </c>
      <c r="BY19" s="89">
        <v>4.8</v>
      </c>
      <c r="BZ19" s="89">
        <v>6.9</v>
      </c>
      <c r="CA19" s="89">
        <v>7.1</v>
      </c>
      <c r="CB19" s="89">
        <v>6</v>
      </c>
      <c r="CC19" s="89">
        <v>7.7</v>
      </c>
      <c r="CD19" s="89">
        <v>7.7</v>
      </c>
      <c r="CE19" s="89">
        <v>6.8</v>
      </c>
      <c r="CF19" s="89">
        <v>8.1999999999999993</v>
      </c>
      <c r="CG19" s="89">
        <v>8.5</v>
      </c>
      <c r="CH19" s="89">
        <v>6.5</v>
      </c>
      <c r="CI19" s="89">
        <v>6.3</v>
      </c>
      <c r="CJ19" s="89">
        <v>8</v>
      </c>
      <c r="CK19" s="89">
        <v>6.4</v>
      </c>
      <c r="CL19" s="89">
        <v>7.5</v>
      </c>
      <c r="CM19" s="89">
        <v>7.7</v>
      </c>
      <c r="CN19" s="89">
        <v>6.4</v>
      </c>
      <c r="CO19" s="89">
        <v>7.8</v>
      </c>
      <c r="CP19" s="89">
        <v>8.3000000000000007</v>
      </c>
      <c r="CQ19" s="89">
        <v>6.5</v>
      </c>
      <c r="CR19" s="89">
        <v>7.6</v>
      </c>
      <c r="CS19" s="89">
        <v>7.8</v>
      </c>
      <c r="CT19" s="89">
        <v>6.8</v>
      </c>
      <c r="CU19" s="89">
        <v>6</v>
      </c>
      <c r="CV19" s="89">
        <v>7.8</v>
      </c>
      <c r="CW19" s="89">
        <v>5.5</v>
      </c>
      <c r="CX19" s="89">
        <v>6.6</v>
      </c>
      <c r="CY19" s="89">
        <v>7.5</v>
      </c>
    </row>
    <row r="20" spans="1:103">
      <c r="A20" s="543" t="s">
        <v>320</v>
      </c>
      <c r="B20" s="87">
        <v>1.1000000000000001</v>
      </c>
      <c r="C20" s="87">
        <v>1.4</v>
      </c>
      <c r="D20" s="87">
        <v>1.5</v>
      </c>
      <c r="E20" s="87">
        <v>0.9</v>
      </c>
      <c r="F20" s="87">
        <v>1.6</v>
      </c>
      <c r="G20" s="87">
        <v>1.2</v>
      </c>
      <c r="H20" s="87">
        <v>1.4</v>
      </c>
      <c r="I20" s="87">
        <v>1</v>
      </c>
      <c r="J20" s="87">
        <v>0.7</v>
      </c>
      <c r="K20" s="87">
        <v>1.5</v>
      </c>
      <c r="L20" s="87">
        <v>1.3</v>
      </c>
      <c r="M20" s="87">
        <v>1.2</v>
      </c>
      <c r="N20" s="89">
        <v>1</v>
      </c>
      <c r="O20" s="87">
        <v>1.1000000000000001</v>
      </c>
      <c r="P20" s="89">
        <v>1</v>
      </c>
      <c r="Q20" s="88">
        <v>0.3</v>
      </c>
      <c r="R20" s="88">
        <v>1.2</v>
      </c>
      <c r="S20" s="88">
        <v>1.1000000000000001</v>
      </c>
      <c r="T20" s="88">
        <v>0.5</v>
      </c>
      <c r="U20" s="88">
        <v>1.4</v>
      </c>
      <c r="V20" s="88">
        <v>0.7</v>
      </c>
      <c r="W20" s="88">
        <v>0.7</v>
      </c>
      <c r="X20" s="68">
        <v>1</v>
      </c>
      <c r="Y20" s="88">
        <v>1.2</v>
      </c>
      <c r="Z20" s="88">
        <v>0.7</v>
      </c>
      <c r="AA20" s="88">
        <v>0.7</v>
      </c>
      <c r="AB20" s="88">
        <v>0.2</v>
      </c>
      <c r="AC20" s="88">
        <v>0.7</v>
      </c>
      <c r="AD20" s="88">
        <v>1.7</v>
      </c>
      <c r="AE20" s="88">
        <v>1.1000000000000001</v>
      </c>
      <c r="AF20" s="88">
        <v>0.8</v>
      </c>
      <c r="AG20" s="88">
        <v>0.6</v>
      </c>
      <c r="AH20" s="88">
        <v>0.5</v>
      </c>
      <c r="AI20" s="87">
        <v>0.6</v>
      </c>
      <c r="AJ20" s="87">
        <v>0.6</v>
      </c>
      <c r="AK20" s="87">
        <v>0.9</v>
      </c>
      <c r="AL20" s="87">
        <v>0.6</v>
      </c>
      <c r="AM20" s="87">
        <v>0.4</v>
      </c>
      <c r="AN20" s="87">
        <v>0.9</v>
      </c>
      <c r="AO20" s="87">
        <v>0.9</v>
      </c>
      <c r="AP20" s="87">
        <v>0.9</v>
      </c>
      <c r="AQ20" s="87">
        <v>0.8</v>
      </c>
      <c r="AR20" s="87">
        <v>0.3</v>
      </c>
      <c r="AS20" s="89">
        <v>1</v>
      </c>
      <c r="AT20" s="87">
        <v>1.2</v>
      </c>
      <c r="AU20" s="87">
        <v>0.3</v>
      </c>
      <c r="AV20" s="87">
        <v>0.5</v>
      </c>
      <c r="AW20" s="87">
        <v>0.4</v>
      </c>
      <c r="AX20" s="87">
        <v>0.3</v>
      </c>
      <c r="AY20" s="87">
        <v>0.5</v>
      </c>
      <c r="AZ20" s="87">
        <v>0.4</v>
      </c>
      <c r="BA20" s="87">
        <v>0.1</v>
      </c>
      <c r="BB20" s="87">
        <v>0.4</v>
      </c>
      <c r="BC20" s="87">
        <v>0.3</v>
      </c>
      <c r="BD20" s="87">
        <v>0.2</v>
      </c>
      <c r="BE20" s="87">
        <v>0.2</v>
      </c>
      <c r="BF20" s="87">
        <v>0.1</v>
      </c>
      <c r="BG20" s="87">
        <v>0.2</v>
      </c>
      <c r="BH20" s="87">
        <v>0.1</v>
      </c>
      <c r="BI20" s="123">
        <v>0.17</v>
      </c>
      <c r="BJ20" s="123">
        <v>0.1</v>
      </c>
      <c r="BK20" s="87">
        <v>0.23</v>
      </c>
      <c r="BL20" s="87">
        <v>0.65</v>
      </c>
      <c r="BM20" s="87">
        <v>0.37</v>
      </c>
      <c r="BN20" s="87">
        <v>0.5</v>
      </c>
      <c r="BO20" s="87">
        <v>0.3</v>
      </c>
      <c r="BP20" s="87">
        <v>0.3</v>
      </c>
      <c r="BQ20" s="87">
        <v>0.3</v>
      </c>
      <c r="BR20" s="87">
        <v>0.4</v>
      </c>
      <c r="BS20" s="89">
        <v>0</v>
      </c>
      <c r="BT20" s="87">
        <v>0.4</v>
      </c>
      <c r="BU20" s="89">
        <v>0.02</v>
      </c>
      <c r="BV20" s="89">
        <v>0.13</v>
      </c>
      <c r="BW20" s="89">
        <v>0.21</v>
      </c>
      <c r="BX20" s="89">
        <v>0.17</v>
      </c>
      <c r="BY20" s="87">
        <v>0.1</v>
      </c>
      <c r="BZ20" s="87">
        <v>0.2</v>
      </c>
      <c r="CA20" s="87">
        <v>0.2</v>
      </c>
      <c r="CB20" s="87">
        <v>0.2</v>
      </c>
      <c r="CC20" s="87">
        <v>0.4</v>
      </c>
      <c r="CD20" s="87">
        <v>0.4</v>
      </c>
      <c r="CE20" s="87">
        <v>0.6</v>
      </c>
      <c r="CF20" s="87">
        <v>0.5</v>
      </c>
      <c r="CG20" s="87">
        <v>0.2</v>
      </c>
      <c r="CH20" s="87">
        <v>0.1</v>
      </c>
      <c r="CI20" s="87">
        <v>0.1</v>
      </c>
      <c r="CJ20" s="87">
        <v>0.3</v>
      </c>
      <c r="CK20" s="87">
        <v>0.3</v>
      </c>
      <c r="CL20" s="87">
        <v>0.4</v>
      </c>
      <c r="CM20" s="87">
        <v>0.5</v>
      </c>
      <c r="CN20" s="87">
        <v>0.7</v>
      </c>
      <c r="CO20" s="89">
        <v>1</v>
      </c>
      <c r="CP20" s="87">
        <v>0.6</v>
      </c>
      <c r="CQ20" s="87">
        <v>0.3</v>
      </c>
      <c r="CR20" s="87">
        <v>0.5</v>
      </c>
      <c r="CS20" s="87">
        <v>0.2</v>
      </c>
      <c r="CT20" s="87">
        <v>0.3</v>
      </c>
      <c r="CU20" s="87">
        <v>0.2</v>
      </c>
      <c r="CV20" s="87">
        <v>0.4</v>
      </c>
      <c r="CW20" s="87">
        <v>0.3</v>
      </c>
      <c r="CX20" s="87">
        <v>0.5</v>
      </c>
      <c r="CY20" s="87">
        <v>0.1</v>
      </c>
    </row>
    <row r="21" spans="1:103">
      <c r="A21" s="543" t="s">
        <v>338</v>
      </c>
      <c r="B21" s="87">
        <v>1</v>
      </c>
      <c r="C21" s="87">
        <v>1.1000000000000001</v>
      </c>
      <c r="D21" s="87">
        <v>1.1000000000000001</v>
      </c>
      <c r="E21" s="87">
        <v>0.8</v>
      </c>
      <c r="F21" s="87">
        <v>1.2</v>
      </c>
      <c r="G21" s="87">
        <v>1.1000000000000001</v>
      </c>
      <c r="H21" s="87">
        <v>1.2</v>
      </c>
      <c r="I21" s="87">
        <v>1.5</v>
      </c>
      <c r="J21" s="87">
        <v>1.4</v>
      </c>
      <c r="K21" s="87">
        <v>1.5</v>
      </c>
      <c r="L21" s="87">
        <v>1.4</v>
      </c>
      <c r="M21" s="87">
        <v>1.1000000000000001</v>
      </c>
      <c r="N21" s="87">
        <v>1.2</v>
      </c>
      <c r="O21" s="87">
        <v>1.2</v>
      </c>
      <c r="P21" s="87">
        <v>1.2</v>
      </c>
      <c r="Q21" s="88">
        <v>1.1000000000000001</v>
      </c>
      <c r="R21" s="88">
        <v>1.1000000000000001</v>
      </c>
      <c r="S21" s="88">
        <v>1.2</v>
      </c>
      <c r="T21" s="88">
        <v>1.2</v>
      </c>
      <c r="U21" s="88">
        <v>1.3</v>
      </c>
      <c r="V21" s="88">
        <v>1.4</v>
      </c>
      <c r="W21" s="88">
        <v>1.2</v>
      </c>
      <c r="X21" s="88">
        <v>1.1000000000000001</v>
      </c>
      <c r="Y21" s="88">
        <v>1.4</v>
      </c>
      <c r="Z21" s="88">
        <v>1.5</v>
      </c>
      <c r="AA21" s="68">
        <v>2</v>
      </c>
      <c r="AB21" s="88">
        <v>2.2000000000000002</v>
      </c>
      <c r="AC21" s="68">
        <v>1.9</v>
      </c>
      <c r="AD21" s="88">
        <v>2.5</v>
      </c>
      <c r="AE21" s="88">
        <v>2.4</v>
      </c>
      <c r="AF21" s="68">
        <v>2.2000000000000002</v>
      </c>
      <c r="AG21" s="88">
        <v>2.6</v>
      </c>
      <c r="AH21" s="88">
        <v>2.8</v>
      </c>
      <c r="AI21" s="87">
        <v>2.2999999999999998</v>
      </c>
      <c r="AJ21" s="87">
        <v>3.2</v>
      </c>
      <c r="AK21" s="87">
        <v>2.1</v>
      </c>
      <c r="AL21" s="87">
        <v>2.2999999999999998</v>
      </c>
      <c r="AM21" s="87">
        <v>2.2000000000000002</v>
      </c>
      <c r="AN21" s="87">
        <v>3.3</v>
      </c>
      <c r="AO21" s="89">
        <v>3</v>
      </c>
      <c r="AP21" s="87">
        <v>2.2000000000000002</v>
      </c>
      <c r="AQ21" s="87">
        <v>2.6</v>
      </c>
      <c r="AR21" s="87">
        <v>2.7</v>
      </c>
      <c r="AS21" s="87">
        <v>2.2999999999999998</v>
      </c>
      <c r="AT21" s="87">
        <v>2.9</v>
      </c>
      <c r="AU21" s="89">
        <v>2.2999999999999998</v>
      </c>
      <c r="AV21" s="89">
        <v>2.7</v>
      </c>
      <c r="AW21" s="89">
        <v>3.5</v>
      </c>
      <c r="AX21" s="89">
        <v>2.4</v>
      </c>
      <c r="AY21" s="89">
        <v>2.7</v>
      </c>
      <c r="AZ21" s="89">
        <v>2.5</v>
      </c>
      <c r="BA21" s="89">
        <v>2.2000000000000002</v>
      </c>
      <c r="BB21" s="89">
        <v>2.5</v>
      </c>
      <c r="BC21" s="89">
        <v>1.7</v>
      </c>
      <c r="BD21" s="89">
        <v>2</v>
      </c>
      <c r="BE21" s="89">
        <v>2.2000000000000002</v>
      </c>
      <c r="BF21" s="89">
        <v>2.6</v>
      </c>
      <c r="BG21" s="89">
        <v>1.9</v>
      </c>
      <c r="BH21" s="89">
        <v>2.1</v>
      </c>
      <c r="BI21" s="89">
        <v>2.1</v>
      </c>
      <c r="BJ21" s="89">
        <v>1.7</v>
      </c>
      <c r="BK21" s="89">
        <v>1.5</v>
      </c>
      <c r="BL21" s="89">
        <v>2</v>
      </c>
      <c r="BM21" s="89">
        <v>1.7</v>
      </c>
      <c r="BN21" s="89">
        <v>1.9</v>
      </c>
      <c r="BO21" s="89">
        <v>2.2999999999999998</v>
      </c>
      <c r="BP21" s="89">
        <v>1.6</v>
      </c>
      <c r="BQ21" s="89">
        <v>1.7</v>
      </c>
      <c r="BR21" s="89">
        <v>2.1</v>
      </c>
      <c r="BS21" s="89">
        <v>1.5</v>
      </c>
      <c r="BT21" s="89">
        <v>2</v>
      </c>
      <c r="BU21" s="89">
        <v>2.2000000000000002</v>
      </c>
      <c r="BV21" s="89">
        <v>1.4</v>
      </c>
      <c r="BW21" s="89">
        <v>2</v>
      </c>
      <c r="BX21" s="89">
        <v>2.5</v>
      </c>
      <c r="BY21" s="89">
        <v>1.6</v>
      </c>
      <c r="BZ21" s="89">
        <v>2.2999999999999998</v>
      </c>
      <c r="CA21" s="89">
        <v>2.1</v>
      </c>
      <c r="CB21" s="89">
        <v>1.7</v>
      </c>
      <c r="CC21" s="89">
        <v>2</v>
      </c>
      <c r="CD21" s="89">
        <v>2</v>
      </c>
      <c r="CE21" s="89">
        <v>1.8</v>
      </c>
      <c r="CF21" s="89">
        <v>1.9</v>
      </c>
      <c r="CG21" s="89">
        <v>2</v>
      </c>
      <c r="CH21" s="89">
        <v>1.7</v>
      </c>
      <c r="CI21" s="89">
        <v>1.4</v>
      </c>
      <c r="CJ21" s="89">
        <v>1.9</v>
      </c>
      <c r="CK21" s="89">
        <v>1.6</v>
      </c>
      <c r="CL21" s="89">
        <v>2.2000000000000002</v>
      </c>
      <c r="CM21" s="89">
        <v>1.9</v>
      </c>
      <c r="CN21" s="89">
        <v>1.7</v>
      </c>
      <c r="CO21" s="89">
        <v>2</v>
      </c>
      <c r="CP21" s="89">
        <v>2.2999999999999998</v>
      </c>
      <c r="CQ21" s="89">
        <v>2.2000000000000002</v>
      </c>
      <c r="CR21" s="89">
        <v>2.2999999999999998</v>
      </c>
      <c r="CS21" s="89">
        <v>2.7</v>
      </c>
      <c r="CT21" s="89">
        <v>2.2999999999999998</v>
      </c>
      <c r="CU21" s="89">
        <v>2.2999999999999998</v>
      </c>
      <c r="CV21" s="89">
        <v>3.1</v>
      </c>
      <c r="CW21" s="89">
        <v>2.2000000000000002</v>
      </c>
      <c r="CX21" s="89">
        <v>2.2000000000000002</v>
      </c>
      <c r="CY21" s="89">
        <v>2.8</v>
      </c>
    </row>
    <row r="22" spans="1:103">
      <c r="A22" s="543" t="s">
        <v>178</v>
      </c>
      <c r="B22" s="87">
        <v>1.1000000000000001</v>
      </c>
      <c r="C22" s="87">
        <v>1.6</v>
      </c>
      <c r="D22" s="87">
        <v>1.9</v>
      </c>
      <c r="E22" s="87">
        <v>1.4</v>
      </c>
      <c r="F22" s="87">
        <v>1.8</v>
      </c>
      <c r="G22" s="87">
        <v>1.5</v>
      </c>
      <c r="H22" s="87">
        <v>1.5</v>
      </c>
      <c r="I22" s="87">
        <v>1.9</v>
      </c>
      <c r="J22" s="89">
        <v>3</v>
      </c>
      <c r="K22" s="87">
        <v>2.6</v>
      </c>
      <c r="L22" s="87">
        <v>2.5</v>
      </c>
      <c r="M22" s="87">
        <v>2.2999999999999998</v>
      </c>
      <c r="N22" s="87">
        <v>2.5</v>
      </c>
      <c r="O22" s="87">
        <v>2.7</v>
      </c>
      <c r="P22" s="87">
        <v>2.2000000000000002</v>
      </c>
      <c r="Q22" s="88">
        <v>2.2000000000000002</v>
      </c>
      <c r="R22" s="88">
        <v>2.5</v>
      </c>
      <c r="S22" s="88">
        <v>2.4</v>
      </c>
      <c r="T22" s="88">
        <v>2.7</v>
      </c>
      <c r="U22" s="68">
        <v>3</v>
      </c>
      <c r="V22" s="88">
        <v>2.6</v>
      </c>
      <c r="W22" s="88">
        <v>2.5</v>
      </c>
      <c r="X22" s="68">
        <v>2.8</v>
      </c>
      <c r="Y22" s="88">
        <v>3.1</v>
      </c>
      <c r="Z22" s="68">
        <v>2.7</v>
      </c>
      <c r="AA22" s="88">
        <v>3.1</v>
      </c>
      <c r="AB22" s="88">
        <v>2.8</v>
      </c>
      <c r="AC22" s="88">
        <v>2.4</v>
      </c>
      <c r="AD22" s="88">
        <v>2.6</v>
      </c>
      <c r="AE22" s="88">
        <v>2.7</v>
      </c>
      <c r="AF22" s="88">
        <v>2.5</v>
      </c>
      <c r="AG22" s="88">
        <v>2.4</v>
      </c>
      <c r="AH22" s="88">
        <v>2.6</v>
      </c>
      <c r="AI22" s="87">
        <v>2.2999999999999998</v>
      </c>
      <c r="AJ22" s="87">
        <v>2.6</v>
      </c>
      <c r="AK22" s="87">
        <v>2.8</v>
      </c>
      <c r="AL22" s="87">
        <v>2.4</v>
      </c>
      <c r="AM22" s="87">
        <v>2.1</v>
      </c>
      <c r="AN22" s="87">
        <v>2.2000000000000002</v>
      </c>
      <c r="AO22" s="87">
        <v>2.8</v>
      </c>
      <c r="AP22" s="87">
        <v>2.1</v>
      </c>
      <c r="AQ22" s="87">
        <v>2.7</v>
      </c>
      <c r="AR22" s="87">
        <v>2.4</v>
      </c>
      <c r="AS22" s="87">
        <v>2.4</v>
      </c>
      <c r="AT22" s="87">
        <v>3.9</v>
      </c>
      <c r="AU22" s="89">
        <v>2.1</v>
      </c>
      <c r="AV22" s="87">
        <v>3.1</v>
      </c>
      <c r="AW22" s="89">
        <v>2.8</v>
      </c>
      <c r="AX22" s="87">
        <v>2.2000000000000002</v>
      </c>
      <c r="AY22" s="89">
        <v>2.2000000000000002</v>
      </c>
      <c r="AZ22" s="89">
        <v>2.2000000000000002</v>
      </c>
      <c r="BA22" s="89">
        <v>2.7</v>
      </c>
      <c r="BB22" s="89">
        <v>3.7</v>
      </c>
      <c r="BC22" s="89">
        <v>2.5</v>
      </c>
      <c r="BD22" s="89">
        <v>2.2000000000000002</v>
      </c>
      <c r="BE22" s="89">
        <v>3.3</v>
      </c>
      <c r="BF22" s="89">
        <v>4.0999999999999996</v>
      </c>
      <c r="BG22" s="89">
        <v>3.1</v>
      </c>
      <c r="BH22" s="89">
        <v>2.6</v>
      </c>
      <c r="BI22" s="89">
        <v>3.4</v>
      </c>
      <c r="BJ22" s="89">
        <v>2.8</v>
      </c>
      <c r="BK22" s="89">
        <v>2.1</v>
      </c>
      <c r="BL22" s="89">
        <v>2.7</v>
      </c>
      <c r="BM22" s="89">
        <v>3</v>
      </c>
      <c r="BN22" s="89">
        <v>2.5</v>
      </c>
      <c r="BO22" s="89">
        <v>3.5</v>
      </c>
      <c r="BP22" s="89">
        <v>2.1</v>
      </c>
      <c r="BQ22" s="89">
        <v>2.7</v>
      </c>
      <c r="BR22" s="89">
        <v>2.9</v>
      </c>
      <c r="BS22" s="89">
        <v>2.6</v>
      </c>
      <c r="BT22" s="89">
        <v>2.6</v>
      </c>
      <c r="BU22" s="89">
        <v>3.5</v>
      </c>
      <c r="BV22" s="89">
        <v>1.7</v>
      </c>
      <c r="BW22" s="89">
        <v>2.2000000000000002</v>
      </c>
      <c r="BX22" s="89">
        <v>2.6</v>
      </c>
      <c r="BY22" s="89">
        <v>1.8</v>
      </c>
      <c r="BZ22" s="89">
        <v>2.6</v>
      </c>
      <c r="CA22" s="89">
        <v>2.8</v>
      </c>
      <c r="CB22" s="89">
        <v>2.6</v>
      </c>
      <c r="CC22" s="89">
        <v>2.8</v>
      </c>
      <c r="CD22" s="89">
        <v>4</v>
      </c>
      <c r="CE22" s="89">
        <v>2.9</v>
      </c>
      <c r="CF22" s="89">
        <v>3.6</v>
      </c>
      <c r="CG22" s="89">
        <v>3.5</v>
      </c>
      <c r="CH22" s="89">
        <v>2</v>
      </c>
      <c r="CI22" s="89">
        <v>2.2999999999999998</v>
      </c>
      <c r="CJ22" s="89">
        <v>2.7</v>
      </c>
      <c r="CK22" s="89">
        <v>2.2000000000000002</v>
      </c>
      <c r="CL22" s="89">
        <v>2.7</v>
      </c>
      <c r="CM22" s="89">
        <v>2.8</v>
      </c>
      <c r="CN22" s="89">
        <v>2</v>
      </c>
      <c r="CO22" s="89">
        <v>2.8</v>
      </c>
      <c r="CP22" s="89">
        <v>2.9</v>
      </c>
      <c r="CQ22" s="89">
        <v>1.7</v>
      </c>
      <c r="CR22" s="89">
        <v>2.1</v>
      </c>
      <c r="CS22" s="89">
        <v>1.9</v>
      </c>
      <c r="CT22" s="89">
        <v>1.2</v>
      </c>
      <c r="CU22" s="89">
        <v>1.4</v>
      </c>
      <c r="CV22" s="89">
        <v>2</v>
      </c>
      <c r="CW22" s="89">
        <v>1.3</v>
      </c>
      <c r="CX22" s="89">
        <v>1.6</v>
      </c>
      <c r="CY22" s="89">
        <v>1.8</v>
      </c>
    </row>
    <row r="23" spans="1:103" ht="13.5">
      <c r="A23"/>
      <c r="B23" s="85"/>
      <c r="C23" s="85"/>
      <c r="D23" s="85"/>
      <c r="E23" s="85"/>
      <c r="F23" s="85"/>
      <c r="G23" s="85"/>
      <c r="H23" s="85"/>
      <c r="I23" s="85"/>
      <c r="J23" s="85"/>
      <c r="K23" s="85"/>
      <c r="L23" s="85"/>
      <c r="M23" s="85"/>
      <c r="N23" s="85"/>
      <c r="O23" s="85"/>
      <c r="P23" s="85"/>
      <c r="Q23" s="85"/>
      <c r="R23" s="85"/>
      <c r="S23" s="85"/>
      <c r="T23" s="85"/>
      <c r="U23" s="85"/>
      <c r="V23" s="85"/>
    </row>
    <row r="24" spans="1:103">
      <c r="A24" s="95" t="s">
        <v>342</v>
      </c>
      <c r="B24" s="96"/>
      <c r="C24" s="96"/>
      <c r="D24" s="96"/>
      <c r="E24" s="96"/>
      <c r="F24" s="96"/>
      <c r="G24" s="96"/>
      <c r="H24" s="96"/>
      <c r="I24" s="96"/>
      <c r="J24" s="96"/>
      <c r="K24" s="96"/>
      <c r="L24" s="96"/>
      <c r="M24" s="96"/>
      <c r="N24" s="96"/>
      <c r="O24" s="96"/>
      <c r="P24" s="96"/>
      <c r="Q24" s="96"/>
      <c r="R24" s="96"/>
      <c r="S24" s="96"/>
      <c r="T24" s="96"/>
      <c r="U24" s="96"/>
      <c r="V24" s="96"/>
    </row>
    <row r="25" spans="1:103" ht="13.5">
      <c r="A25"/>
      <c r="B25" s="96"/>
      <c r="C25" s="96"/>
      <c r="D25" s="96"/>
      <c r="E25" s="96"/>
      <c r="F25" s="96"/>
      <c r="G25" s="96"/>
      <c r="H25" s="96"/>
      <c r="I25" s="96"/>
      <c r="J25" s="96"/>
      <c r="K25" s="96"/>
      <c r="L25" s="96"/>
      <c r="M25" s="96"/>
      <c r="N25" s="96"/>
      <c r="O25" s="96"/>
      <c r="P25" s="96"/>
      <c r="Q25" s="96"/>
      <c r="R25" s="96"/>
      <c r="T25" s="96"/>
      <c r="U25" s="96"/>
    </row>
    <row r="28" spans="1:103" ht="13.5">
      <c r="A28"/>
      <c r="CA28" s="83"/>
    </row>
  </sheetData>
  <pageMargins left="0.70866141732283472" right="0.70866141732283472" top="0.74803149606299213" bottom="0.74803149606299213" header="0.31496062992125984" footer="0.31496062992125984"/>
  <pageSetup paperSize="8"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18B2-5090-48F3-8965-1E691385BB3C}">
  <sheetPr>
    <pageSetUpPr fitToPage="1"/>
  </sheetPr>
  <dimension ref="A1:BU22"/>
  <sheetViews>
    <sheetView showGridLines="0" zoomScale="142" zoomScaleNormal="142" workbookViewId="0">
      <pane xSplit="1" ySplit="1" topLeftCell="BH2" activePane="bottomRight" state="frozen"/>
      <selection activeCell="Z1" sqref="Z1"/>
      <selection pane="topRight" activeCell="Z1" sqref="Z1"/>
      <selection pane="bottomLeft" activeCell="Z1" sqref="Z1"/>
      <selection pane="bottomRight" activeCell="BQ19" sqref="BQ19"/>
    </sheetView>
  </sheetViews>
  <sheetFormatPr defaultColWidth="9.42578125" defaultRowHeight="12.75"/>
  <cols>
    <col min="1" max="1" width="40" style="61" customWidth="1"/>
    <col min="2" max="2" width="8" style="61" customWidth="1"/>
    <col min="3" max="3" width="1" style="61" customWidth="1"/>
    <col min="4" max="9" width="8" style="61" customWidth="1"/>
    <col min="10" max="10" width="1" style="61" customWidth="1"/>
    <col min="11" max="16" width="8" style="61" customWidth="1"/>
    <col min="17" max="17" width="1" style="61" customWidth="1"/>
    <col min="18" max="23" width="8" style="61" customWidth="1"/>
    <col min="24" max="24" width="1" style="61" customWidth="1"/>
    <col min="25" max="28" width="8" style="61" customWidth="1"/>
    <col min="29" max="29" width="8.42578125" style="61" customWidth="1"/>
    <col min="30" max="31" width="7.5703125" style="61" customWidth="1"/>
    <col min="32" max="32" width="8.5703125" style="61" customWidth="1"/>
    <col min="33" max="41" width="9.42578125" style="61"/>
    <col min="42" max="42" width="7.42578125" style="61" bestFit="1" customWidth="1"/>
    <col min="43" max="46" width="9.42578125" style="61"/>
    <col min="47" max="47" width="10.140625" style="61" customWidth="1"/>
    <col min="48" max="48" width="7.85546875" style="61" customWidth="1"/>
    <col min="49" max="51" width="9.42578125" style="61"/>
    <col min="52" max="68" width="9.140625" style="61" customWidth="1"/>
    <col min="69" max="69" width="10.5703125" style="61" customWidth="1"/>
    <col min="70" max="16384" width="9.42578125" style="61"/>
  </cols>
  <sheetData>
    <row r="1" spans="1:73" ht="38.25">
      <c r="A1" s="548" t="s">
        <v>418</v>
      </c>
      <c r="B1" s="58">
        <v>2015</v>
      </c>
      <c r="C1" s="97"/>
      <c r="D1" s="58" t="s">
        <v>8</v>
      </c>
      <c r="E1" s="58" t="s">
        <v>9</v>
      </c>
      <c r="F1" s="58" t="s">
        <v>10</v>
      </c>
      <c r="G1" s="58" t="s">
        <v>11</v>
      </c>
      <c r="H1" s="58">
        <v>2016</v>
      </c>
      <c r="I1" s="57" t="s">
        <v>326</v>
      </c>
      <c r="J1" s="97"/>
      <c r="K1" s="58" t="s">
        <v>16</v>
      </c>
      <c r="L1" s="58" t="s">
        <v>17</v>
      </c>
      <c r="M1" s="58" t="s">
        <v>20</v>
      </c>
      <c r="N1" s="58" t="s">
        <v>21</v>
      </c>
      <c r="O1" s="58">
        <v>2017</v>
      </c>
      <c r="P1" s="57" t="s">
        <v>327</v>
      </c>
      <c r="Q1" s="97"/>
      <c r="R1" s="58" t="s">
        <v>27</v>
      </c>
      <c r="S1" s="58" t="s">
        <v>29</v>
      </c>
      <c r="T1" s="58" t="s">
        <v>30</v>
      </c>
      <c r="U1" s="58" t="s">
        <v>33</v>
      </c>
      <c r="V1" s="58">
        <v>2018</v>
      </c>
      <c r="W1" s="57" t="s">
        <v>328</v>
      </c>
      <c r="X1" s="97"/>
      <c r="Y1" s="58" t="s">
        <v>35</v>
      </c>
      <c r="Z1" s="58" t="s">
        <v>36</v>
      </c>
      <c r="AA1" s="58" t="s">
        <v>39</v>
      </c>
      <c r="AB1" s="58" t="s">
        <v>40</v>
      </c>
      <c r="AC1" s="57">
        <v>2019</v>
      </c>
      <c r="AD1" s="57" t="s">
        <v>329</v>
      </c>
      <c r="AE1" s="57" t="s">
        <v>41</v>
      </c>
      <c r="AF1" s="57" t="s">
        <v>42</v>
      </c>
      <c r="AG1" s="57" t="s">
        <v>43</v>
      </c>
      <c r="AH1" s="57" t="s">
        <v>44</v>
      </c>
      <c r="AI1" s="57">
        <v>2020</v>
      </c>
      <c r="AJ1" s="57" t="s">
        <v>428</v>
      </c>
      <c r="AK1" s="57" t="s">
        <v>47</v>
      </c>
      <c r="AL1" s="57" t="s">
        <v>48</v>
      </c>
      <c r="AM1" s="57" t="s">
        <v>49</v>
      </c>
      <c r="AN1" s="57" t="s">
        <v>50</v>
      </c>
      <c r="AO1" s="57">
        <v>2021</v>
      </c>
      <c r="AP1" s="57" t="s">
        <v>429</v>
      </c>
      <c r="AQ1" s="57" t="s">
        <v>51</v>
      </c>
      <c r="AR1" s="57" t="s">
        <v>52</v>
      </c>
      <c r="AS1" s="57" t="s">
        <v>53</v>
      </c>
      <c r="AT1" s="57" t="s">
        <v>54</v>
      </c>
      <c r="AU1" s="57">
        <v>2022</v>
      </c>
      <c r="AV1" s="57" t="s">
        <v>430</v>
      </c>
      <c r="AW1" s="57" t="s">
        <v>55</v>
      </c>
      <c r="AX1" s="57" t="s">
        <v>56</v>
      </c>
      <c r="AY1" s="57" t="s">
        <v>57</v>
      </c>
      <c r="AZ1" s="57" t="s">
        <v>61</v>
      </c>
      <c r="BA1" s="57">
        <v>2023</v>
      </c>
      <c r="BB1" s="57" t="s">
        <v>333</v>
      </c>
      <c r="BC1" s="57" t="s">
        <v>64</v>
      </c>
      <c r="BD1" s="57" t="s">
        <v>68</v>
      </c>
      <c r="BE1" s="57" t="s">
        <v>70</v>
      </c>
      <c r="BF1" s="57" t="s">
        <v>72</v>
      </c>
      <c r="BG1" s="57">
        <v>2024</v>
      </c>
      <c r="BH1" s="57" t="s">
        <v>334</v>
      </c>
      <c r="BI1" s="57" t="s">
        <v>76</v>
      </c>
      <c r="BJ1" s="57" t="s">
        <v>79</v>
      </c>
      <c r="BK1" s="57" t="s">
        <v>81</v>
      </c>
      <c r="BL1" s="57" t="s">
        <v>83</v>
      </c>
      <c r="BM1" s="57">
        <v>2025</v>
      </c>
      <c r="BN1" s="57" t="s">
        <v>86</v>
      </c>
      <c r="BO1" s="57" t="s">
        <v>88</v>
      </c>
      <c r="BP1" s="57" t="s">
        <v>335</v>
      </c>
    </row>
    <row r="2" spans="1:73" ht="16.5" customHeight="1">
      <c r="A2" s="538" t="s">
        <v>22</v>
      </c>
      <c r="B2" s="59"/>
      <c r="C2" s="60"/>
      <c r="D2" s="59"/>
      <c r="E2" s="59"/>
      <c r="F2" s="59"/>
      <c r="G2" s="59"/>
      <c r="H2" s="59"/>
      <c r="I2" s="59"/>
      <c r="J2" s="60"/>
      <c r="K2" s="59"/>
      <c r="L2" s="59"/>
      <c r="M2" s="59"/>
      <c r="N2" s="59"/>
      <c r="O2" s="59"/>
      <c r="P2" s="59"/>
      <c r="Q2" s="60"/>
      <c r="R2" s="59"/>
      <c r="S2" s="59"/>
      <c r="T2" s="59"/>
      <c r="U2" s="59"/>
      <c r="V2" s="59"/>
      <c r="W2" s="59"/>
      <c r="X2" s="60"/>
      <c r="Y2" s="59"/>
      <c r="Z2" s="59"/>
      <c r="AA2" s="59"/>
      <c r="AB2" s="59"/>
      <c r="AC2" s="59"/>
      <c r="AD2" s="59"/>
      <c r="AE2" s="59"/>
      <c r="AF2" s="59"/>
      <c r="AG2" s="59"/>
      <c r="AJ2" s="101"/>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R2" s="475"/>
      <c r="BS2" s="475"/>
      <c r="BT2" s="466"/>
      <c r="BU2" s="371"/>
    </row>
    <row r="3" spans="1:73">
      <c r="A3" s="549" t="s">
        <v>419</v>
      </c>
      <c r="B3" s="98">
        <v>294.39999999999998</v>
      </c>
      <c r="C3" s="63"/>
      <c r="D3" s="64">
        <v>50.6</v>
      </c>
      <c r="E3" s="62">
        <v>58.5</v>
      </c>
      <c r="F3" s="62">
        <v>56.7</v>
      </c>
      <c r="G3" s="62">
        <v>80.5</v>
      </c>
      <c r="H3" s="62">
        <v>246.4</v>
      </c>
      <c r="I3" s="65">
        <f t="shared" ref="I3:I11" si="0">H3/B3-1</f>
        <v>-0.16304347826086951</v>
      </c>
      <c r="J3" s="66"/>
      <c r="K3" s="64">
        <v>51</v>
      </c>
      <c r="L3" s="62">
        <v>55.4</v>
      </c>
      <c r="M3" s="62">
        <v>53.222000000000001</v>
      </c>
      <c r="N3" s="62">
        <v>73.900000000000006</v>
      </c>
      <c r="O3" s="62">
        <v>233.5</v>
      </c>
      <c r="P3" s="65">
        <f t="shared" ref="P3:P11" si="1">O3/H3-1</f>
        <v>-5.235389610389618E-2</v>
      </c>
      <c r="Q3" s="66"/>
      <c r="R3" s="64">
        <v>34.512</v>
      </c>
      <c r="S3" s="62">
        <v>47.3</v>
      </c>
      <c r="T3" s="62">
        <v>58.5</v>
      </c>
      <c r="U3" s="62">
        <v>74.099999999999994</v>
      </c>
      <c r="V3" s="62">
        <v>214.3</v>
      </c>
      <c r="W3" s="99">
        <f>V3/O3-1</f>
        <v>-8.2226980728051347E-2</v>
      </c>
      <c r="X3" s="67"/>
      <c r="Y3" s="64">
        <v>67.099999999999994</v>
      </c>
      <c r="Z3" s="68">
        <v>71.400000000000006</v>
      </c>
      <c r="AA3" s="68">
        <v>63.8</v>
      </c>
      <c r="AB3" s="68">
        <v>73.400000000000006</v>
      </c>
      <c r="AC3" s="68">
        <v>275.7</v>
      </c>
      <c r="AD3" s="65">
        <f>AC3/V3-1</f>
        <v>0.28651423238450757</v>
      </c>
      <c r="AE3" s="68">
        <v>67.5</v>
      </c>
      <c r="AF3" s="68">
        <v>80.3</v>
      </c>
      <c r="AG3" s="68">
        <v>63.9</v>
      </c>
      <c r="AH3" s="68">
        <v>89</v>
      </c>
      <c r="AI3" s="68">
        <v>300.7</v>
      </c>
      <c r="AJ3" s="65">
        <f>AI3/AC3-1</f>
        <v>9.0678273485672811E-2</v>
      </c>
      <c r="AK3" s="131">
        <v>65.3</v>
      </c>
      <c r="AL3" s="142">
        <v>74.5</v>
      </c>
      <c r="AM3" s="143">
        <v>62</v>
      </c>
      <c r="AN3" s="143">
        <v>77.5</v>
      </c>
      <c r="AO3" s="143">
        <v>279.3</v>
      </c>
      <c r="AP3" s="236">
        <f>AO3/AI3-1</f>
        <v>-7.1167276355171172E-2</v>
      </c>
      <c r="AQ3" s="143">
        <v>66.099999999999994</v>
      </c>
      <c r="AR3" s="143">
        <v>74.2</v>
      </c>
      <c r="AS3" s="143">
        <v>69.888999999999996</v>
      </c>
      <c r="AT3" s="143">
        <v>69.557000000000002</v>
      </c>
      <c r="AU3" s="143">
        <v>279.7</v>
      </c>
      <c r="AV3" s="236">
        <f>AU3/AO3-1</f>
        <v>1.4321518080915308E-3</v>
      </c>
      <c r="AW3" s="143">
        <v>83.325999999999993</v>
      </c>
      <c r="AX3" s="143">
        <v>77.882999999999996</v>
      </c>
      <c r="AY3" s="143">
        <v>70</v>
      </c>
      <c r="AZ3" s="143">
        <v>75.090810000000005</v>
      </c>
      <c r="BA3" s="143">
        <v>306.31700000000001</v>
      </c>
      <c r="BB3" s="236">
        <f>BA3/AU3-1</f>
        <v>9.5162674293886473E-2</v>
      </c>
      <c r="BC3" s="143">
        <v>80.745170999999999</v>
      </c>
      <c r="BD3" s="143">
        <v>69.2</v>
      </c>
      <c r="BE3" s="143">
        <v>71.850890000000007</v>
      </c>
      <c r="BF3" s="143">
        <v>75.573999999999998</v>
      </c>
      <c r="BG3" s="143">
        <v>297.40997900000002</v>
      </c>
      <c r="BH3" s="236">
        <f>BG3/BA3-1</f>
        <v>-2.9077788696023954E-2</v>
      </c>
      <c r="BI3" s="143">
        <v>70.008966999999998</v>
      </c>
      <c r="BJ3" s="143">
        <v>63.813000000000002</v>
      </c>
      <c r="BK3" s="143">
        <v>62.966000000000001</v>
      </c>
      <c r="BL3" s="143">
        <v>82.049265000000005</v>
      </c>
      <c r="BM3" s="143">
        <f>BI3+BJ3+BK3+BL3</f>
        <v>278.83723200000003</v>
      </c>
      <c r="BN3" s="143">
        <v>68.368165000000005</v>
      </c>
      <c r="BO3" s="358">
        <v>73.411000000000001</v>
      </c>
      <c r="BP3" s="446">
        <f>BO3/BJ3-1</f>
        <v>0.15040822402958653</v>
      </c>
      <c r="BQ3" s="323"/>
      <c r="BR3" s="467"/>
      <c r="BS3" s="467"/>
      <c r="BT3" s="466"/>
      <c r="BU3" s="323"/>
    </row>
    <row r="4" spans="1:73">
      <c r="A4" s="549" t="s">
        <v>420</v>
      </c>
      <c r="B4" s="100">
        <v>264.8</v>
      </c>
      <c r="C4" s="63"/>
      <c r="D4" s="64">
        <v>65.599999999999994</v>
      </c>
      <c r="E4" s="76">
        <v>73.599999999999994</v>
      </c>
      <c r="F4" s="76">
        <v>69.8</v>
      </c>
      <c r="G4" s="76">
        <v>56</v>
      </c>
      <c r="H4" s="76">
        <v>265.10000000000002</v>
      </c>
      <c r="I4" s="77">
        <f t="shared" si="0"/>
        <v>1.1329305135951984E-3</v>
      </c>
      <c r="J4" s="66"/>
      <c r="K4" s="64">
        <v>65.599999999999994</v>
      </c>
      <c r="L4" s="76">
        <v>66.8</v>
      </c>
      <c r="M4" s="76">
        <v>64.3</v>
      </c>
      <c r="N4" s="76">
        <v>63.201000000000001</v>
      </c>
      <c r="O4" s="76">
        <v>259.89999999999998</v>
      </c>
      <c r="P4" s="77">
        <f t="shared" si="1"/>
        <v>-1.9615239532252193E-2</v>
      </c>
      <c r="Q4" s="66"/>
      <c r="R4" s="64">
        <v>64.733999999999995</v>
      </c>
      <c r="S4" s="76">
        <v>65.2</v>
      </c>
      <c r="T4" s="76">
        <v>68.3</v>
      </c>
      <c r="U4" s="76">
        <v>66.400000000000006</v>
      </c>
      <c r="V4" s="76">
        <v>264.60000000000002</v>
      </c>
      <c r="W4" s="101">
        <f>V4/O4-1</f>
        <v>1.808387841477499E-2</v>
      </c>
      <c r="X4" s="67"/>
      <c r="Y4" s="64">
        <v>63.8</v>
      </c>
      <c r="Z4" s="68">
        <v>69.7</v>
      </c>
      <c r="AA4" s="68">
        <v>66.8</v>
      </c>
      <c r="AB4" s="68">
        <v>65.099999999999994</v>
      </c>
      <c r="AC4" s="68">
        <v>265.3</v>
      </c>
      <c r="AD4" s="101">
        <f t="shared" ref="AD4:AD10" si="2">AC4/V4-1</f>
        <v>2.6455026455025621E-3</v>
      </c>
      <c r="AE4" s="68">
        <v>63.5</v>
      </c>
      <c r="AF4" s="68">
        <v>63.6</v>
      </c>
      <c r="AG4" s="68">
        <v>62.9</v>
      </c>
      <c r="AH4" s="68">
        <v>66.3</v>
      </c>
      <c r="AI4" s="68">
        <v>256.39999999999998</v>
      </c>
      <c r="AJ4" s="101">
        <f>AI4/AC4-1</f>
        <v>-3.3546928006030985E-2</v>
      </c>
      <c r="AK4" s="131">
        <v>70</v>
      </c>
      <c r="AL4" s="142">
        <v>72.599999999999994</v>
      </c>
      <c r="AM4" s="142">
        <v>69.400000000000006</v>
      </c>
      <c r="AN4" s="143">
        <v>66</v>
      </c>
      <c r="AO4" s="143">
        <v>278</v>
      </c>
      <c r="AP4" s="236">
        <f t="shared" ref="AP4:AP18" si="3">AO4/AI4-1</f>
        <v>8.4243369734789519E-2</v>
      </c>
      <c r="AQ4" s="142">
        <v>76.400000000000006</v>
      </c>
      <c r="AR4" s="142">
        <v>74.5</v>
      </c>
      <c r="AS4" s="143">
        <v>66.620999999999995</v>
      </c>
      <c r="AT4" s="143">
        <v>64.816999999999993</v>
      </c>
      <c r="AU4" s="143">
        <v>282.3</v>
      </c>
      <c r="AV4" s="236">
        <f t="shared" ref="AV4:AV18" si="4">AU4/AO4-1</f>
        <v>1.5467625899280524E-2</v>
      </c>
      <c r="AW4" s="143">
        <v>72.816000000000003</v>
      </c>
      <c r="AX4" s="143">
        <v>68.424999999999997</v>
      </c>
      <c r="AY4" s="143">
        <v>69.7</v>
      </c>
      <c r="AZ4" s="143">
        <v>64.563999999999993</v>
      </c>
      <c r="BA4" s="143">
        <f>AZ4+AY4+AX4+AW4</f>
        <v>275.505</v>
      </c>
      <c r="BB4" s="236">
        <f t="shared" ref="BB4:BB18" si="5">BA4/AU4-1</f>
        <v>-2.4070138150903309E-2</v>
      </c>
      <c r="BC4" s="143">
        <v>77.182468999999998</v>
      </c>
      <c r="BD4" s="143">
        <v>73.900000000000006</v>
      </c>
      <c r="BE4" s="143">
        <v>71.400000000000006</v>
      </c>
      <c r="BF4" s="143">
        <v>66.599999999999994</v>
      </c>
      <c r="BG4" s="143">
        <v>289.10000000000002</v>
      </c>
      <c r="BH4" s="236">
        <f t="shared" ref="BH4:BH18" si="6">BG4/BA4-1</f>
        <v>4.9345746901145349E-2</v>
      </c>
      <c r="BI4" s="143">
        <v>72.522099999999995</v>
      </c>
      <c r="BJ4" s="143">
        <v>77.610412999999994</v>
      </c>
      <c r="BK4" s="143">
        <v>75.559218999999999</v>
      </c>
      <c r="BL4" s="143">
        <v>64.599999999999994</v>
      </c>
      <c r="BM4" s="143">
        <f>BI4+BJ4+BK4+BL4</f>
        <v>290.29173200000002</v>
      </c>
      <c r="BN4" s="143">
        <v>73.482855999999998</v>
      </c>
      <c r="BO4" s="358">
        <v>76.953079000000002</v>
      </c>
      <c r="BP4" s="446">
        <f t="shared" ref="BP4:BP18" si="7">BO4/BJ4-1</f>
        <v>-8.4696624407860632E-3</v>
      </c>
      <c r="BQ4" s="323"/>
      <c r="BR4" s="468"/>
      <c r="BS4" s="467"/>
      <c r="BT4" s="466"/>
      <c r="BU4" s="323"/>
    </row>
    <row r="5" spans="1:73">
      <c r="A5" s="539" t="s">
        <v>421</v>
      </c>
      <c r="B5" s="100">
        <v>0</v>
      </c>
      <c r="C5" s="63"/>
      <c r="D5" s="64" t="s">
        <v>32</v>
      </c>
      <c r="E5" s="76" t="s">
        <v>32</v>
      </c>
      <c r="F5" s="76" t="s">
        <v>32</v>
      </c>
      <c r="G5" s="76" t="s">
        <v>32</v>
      </c>
      <c r="H5" s="76">
        <v>35.200000000000003</v>
      </c>
      <c r="I5" s="77" t="s">
        <v>32</v>
      </c>
      <c r="J5" s="66"/>
      <c r="K5" s="64">
        <v>-0.3</v>
      </c>
      <c r="L5" s="76">
        <v>0</v>
      </c>
      <c r="M5" s="76">
        <v>0</v>
      </c>
      <c r="N5" s="76">
        <v>0</v>
      </c>
      <c r="O5" s="76">
        <v>-0.3</v>
      </c>
      <c r="P5" s="77" t="s">
        <v>31</v>
      </c>
      <c r="Q5" s="66"/>
      <c r="R5" s="64">
        <v>0</v>
      </c>
      <c r="S5" s="76">
        <v>11.3</v>
      </c>
      <c r="T5" s="76">
        <v>6.8</v>
      </c>
      <c r="U5" s="76">
        <v>4.2</v>
      </c>
      <c r="V5" s="76">
        <v>22.3</v>
      </c>
      <c r="W5" s="101" t="s">
        <v>32</v>
      </c>
      <c r="X5" s="67"/>
      <c r="Y5" s="64">
        <v>0</v>
      </c>
      <c r="Z5" s="68">
        <v>0</v>
      </c>
      <c r="AA5" s="68">
        <v>0</v>
      </c>
      <c r="AB5" s="68">
        <v>0</v>
      </c>
      <c r="AC5" s="68">
        <v>0</v>
      </c>
      <c r="AD5" s="102" t="s">
        <v>15</v>
      </c>
      <c r="AE5" s="68">
        <v>0</v>
      </c>
      <c r="AF5" s="68">
        <v>0</v>
      </c>
      <c r="AG5" s="68">
        <v>0</v>
      </c>
      <c r="AH5" s="68">
        <v>0</v>
      </c>
      <c r="AI5" s="68">
        <v>0</v>
      </c>
      <c r="AJ5" s="102" t="s">
        <v>15</v>
      </c>
      <c r="AK5" s="131">
        <v>0</v>
      </c>
      <c r="AL5" s="143">
        <v>0</v>
      </c>
      <c r="AM5" s="143">
        <v>0</v>
      </c>
      <c r="AN5" s="143">
        <v>0</v>
      </c>
      <c r="AO5" s="143">
        <v>0</v>
      </c>
      <c r="AP5" s="236" t="s">
        <v>15</v>
      </c>
      <c r="AQ5" s="143">
        <v>0</v>
      </c>
      <c r="AR5" s="143">
        <v>0</v>
      </c>
      <c r="AS5" s="143">
        <v>0</v>
      </c>
      <c r="AT5" s="143">
        <v>0</v>
      </c>
      <c r="AU5" s="143">
        <v>0</v>
      </c>
      <c r="AV5" s="236" t="s">
        <v>15</v>
      </c>
      <c r="AW5" s="143">
        <v>0</v>
      </c>
      <c r="AX5" s="143">
        <v>0</v>
      </c>
      <c r="AY5" s="143">
        <v>0</v>
      </c>
      <c r="AZ5" s="143">
        <v>0</v>
      </c>
      <c r="BA5" s="143">
        <v>0</v>
      </c>
      <c r="BB5" s="236" t="s">
        <v>15</v>
      </c>
      <c r="BC5" s="143">
        <v>0</v>
      </c>
      <c r="BD5" s="143">
        <v>0</v>
      </c>
      <c r="BE5" s="143">
        <v>0</v>
      </c>
      <c r="BF5" s="143">
        <v>0</v>
      </c>
      <c r="BG5" s="143">
        <v>0</v>
      </c>
      <c r="BH5" s="236" t="s">
        <v>15</v>
      </c>
      <c r="BI5" s="143">
        <v>0</v>
      </c>
      <c r="BJ5" s="143">
        <v>0</v>
      </c>
      <c r="BK5" s="143">
        <v>0</v>
      </c>
      <c r="BL5" s="143">
        <v>0</v>
      </c>
      <c r="BM5" s="143">
        <f t="shared" ref="BM5:BM11" si="8">BI5+BJ5+BK5+BL5</f>
        <v>0</v>
      </c>
      <c r="BN5" s="143">
        <v>0</v>
      </c>
      <c r="BO5" s="358">
        <v>0</v>
      </c>
      <c r="BP5" s="446" t="s">
        <v>15</v>
      </c>
      <c r="BQ5" s="323"/>
      <c r="BR5" s="469"/>
      <c r="BS5" s="467"/>
      <c r="BT5" s="466"/>
      <c r="BU5" s="465"/>
    </row>
    <row r="6" spans="1:73">
      <c r="A6" s="549" t="s">
        <v>422</v>
      </c>
      <c r="B6" s="100">
        <v>12.2</v>
      </c>
      <c r="C6" s="63"/>
      <c r="D6" s="64">
        <v>3.3</v>
      </c>
      <c r="E6" s="76">
        <v>3.4</v>
      </c>
      <c r="F6" s="76">
        <v>3.5</v>
      </c>
      <c r="G6" s="76">
        <v>2.8</v>
      </c>
      <c r="H6" s="76">
        <v>13.1</v>
      </c>
      <c r="I6" s="77">
        <f t="shared" si="0"/>
        <v>7.3770491803278659E-2</v>
      </c>
      <c r="J6" s="66"/>
      <c r="K6" s="64">
        <v>3</v>
      </c>
      <c r="L6" s="76">
        <v>3.3</v>
      </c>
      <c r="M6" s="76">
        <v>3.2</v>
      </c>
      <c r="N6" s="76">
        <v>3.4</v>
      </c>
      <c r="O6" s="76">
        <v>12.9</v>
      </c>
      <c r="P6" s="77">
        <f t="shared" si="1"/>
        <v>-1.5267175572518998E-2</v>
      </c>
      <c r="Q6" s="66"/>
      <c r="R6" s="64">
        <v>3.23</v>
      </c>
      <c r="S6" s="76">
        <v>3.3</v>
      </c>
      <c r="T6" s="76">
        <v>3.5</v>
      </c>
      <c r="U6" s="76">
        <v>3</v>
      </c>
      <c r="V6" s="76">
        <v>13.2</v>
      </c>
      <c r="W6" s="101">
        <f>V6/O6-1</f>
        <v>2.3255813953488191E-2</v>
      </c>
      <c r="X6" s="67"/>
      <c r="Y6" s="64">
        <v>4.3</v>
      </c>
      <c r="Z6" s="68">
        <v>3.6</v>
      </c>
      <c r="AA6" s="68">
        <v>4.2</v>
      </c>
      <c r="AB6" s="68">
        <v>3.8</v>
      </c>
      <c r="AC6" s="68">
        <v>16</v>
      </c>
      <c r="AD6" s="101">
        <f t="shared" si="2"/>
        <v>0.21212121212121215</v>
      </c>
      <c r="AE6" s="68">
        <v>1.1000000000000001</v>
      </c>
      <c r="AF6" s="68">
        <v>0.9</v>
      </c>
      <c r="AG6" s="68">
        <v>1.1000000000000001</v>
      </c>
      <c r="AH6" s="68">
        <v>0.8</v>
      </c>
      <c r="AI6" s="68">
        <v>3.9</v>
      </c>
      <c r="AJ6" s="101">
        <f>AI6/AC6-1</f>
        <v>-0.75624999999999998</v>
      </c>
      <c r="AK6" s="131">
        <v>1.3</v>
      </c>
      <c r="AL6" s="142">
        <v>1.3</v>
      </c>
      <c r="AM6" s="142">
        <v>0.7</v>
      </c>
      <c r="AN6" s="142">
        <v>0.9</v>
      </c>
      <c r="AO6" s="142">
        <v>4.2</v>
      </c>
      <c r="AP6" s="236">
        <f t="shared" si="3"/>
        <v>7.6923076923077094E-2</v>
      </c>
      <c r="AQ6" s="142">
        <v>0.7</v>
      </c>
      <c r="AR6" s="142">
        <v>0.8</v>
      </c>
      <c r="AS6" s="142">
        <v>0.7</v>
      </c>
      <c r="AT6" s="142">
        <v>0.77</v>
      </c>
      <c r="AU6" s="143">
        <v>3</v>
      </c>
      <c r="AV6" s="236">
        <f t="shared" si="4"/>
        <v>-0.2857142857142857</v>
      </c>
      <c r="AW6" s="143">
        <v>0.77200000000000002</v>
      </c>
      <c r="AX6" s="143">
        <v>0.68600000000000005</v>
      </c>
      <c r="AY6" s="143">
        <v>0.9</v>
      </c>
      <c r="AZ6" s="143">
        <v>0.59047899999999998</v>
      </c>
      <c r="BA6" s="143">
        <f>AZ6+AY6+AX6+AW6</f>
        <v>2.9484789999999998</v>
      </c>
      <c r="BB6" s="236">
        <f t="shared" si="5"/>
        <v>-1.7173666666666754E-2</v>
      </c>
      <c r="BC6" s="143">
        <v>0.9</v>
      </c>
      <c r="BD6" s="143">
        <v>0.8</v>
      </c>
      <c r="BE6" s="143">
        <v>0.8</v>
      </c>
      <c r="BF6" s="143">
        <v>0.80855399999999999</v>
      </c>
      <c r="BG6" s="143">
        <v>3.3</v>
      </c>
      <c r="BH6" s="236">
        <f t="shared" si="6"/>
        <v>0.11922113062361994</v>
      </c>
      <c r="BI6" s="143">
        <v>0.75792800000000005</v>
      </c>
      <c r="BJ6" s="143">
        <v>1.1039319999999999</v>
      </c>
      <c r="BK6" s="143">
        <v>0.8</v>
      </c>
      <c r="BL6" s="143">
        <v>0.72258800000000001</v>
      </c>
      <c r="BM6" s="143">
        <f t="shared" si="8"/>
        <v>3.3844479999999999</v>
      </c>
      <c r="BN6" s="143">
        <v>0.58242899999999997</v>
      </c>
      <c r="BO6" s="358">
        <v>0.72012699999999996</v>
      </c>
      <c r="BP6" s="446">
        <f t="shared" si="7"/>
        <v>-0.34767087103191141</v>
      </c>
      <c r="BQ6" s="323"/>
      <c r="BR6" s="470"/>
      <c r="BS6" s="467"/>
      <c r="BT6" s="466"/>
      <c r="BU6" s="323"/>
    </row>
    <row r="7" spans="1:73" s="112" customFormat="1">
      <c r="A7" s="550" t="s">
        <v>423</v>
      </c>
      <c r="B7" s="103">
        <v>571.4</v>
      </c>
      <c r="C7" s="104"/>
      <c r="D7" s="105" t="s">
        <v>25</v>
      </c>
      <c r="E7" s="106">
        <v>135.6</v>
      </c>
      <c r="F7" s="106">
        <v>130.1</v>
      </c>
      <c r="G7" s="106">
        <v>139.19999999999999</v>
      </c>
      <c r="H7" s="106">
        <f>SUM(H3:H6)</f>
        <v>559.80000000000007</v>
      </c>
      <c r="I7" s="107">
        <f t="shared" si="0"/>
        <v>-2.0301015050752325E-2</v>
      </c>
      <c r="J7" s="108"/>
      <c r="K7" s="105">
        <v>119.3</v>
      </c>
      <c r="L7" s="106">
        <f>SUM(L3:L6)</f>
        <v>125.49999999999999</v>
      </c>
      <c r="M7" s="106">
        <f>SUM(M3:M6)</f>
        <v>120.72199999999999</v>
      </c>
      <c r="N7" s="106">
        <f>ROUND(SUM(N3:N6),2)</f>
        <v>140.5</v>
      </c>
      <c r="O7" s="106">
        <f>SUM(O3:O6)</f>
        <v>505.99999999999994</v>
      </c>
      <c r="P7" s="107">
        <f t="shared" si="1"/>
        <v>-9.6105752054305271E-2</v>
      </c>
      <c r="Q7" s="108"/>
      <c r="R7" s="105">
        <f>SUM(R3:R6)</f>
        <v>102.476</v>
      </c>
      <c r="S7" s="106">
        <f>SUM(S3:S6)</f>
        <v>127.1</v>
      </c>
      <c r="T7" s="106">
        <f>SUM(T3:T6)</f>
        <v>137.1</v>
      </c>
      <c r="U7" s="106">
        <f>SUM(U3:U6)</f>
        <v>147.69999999999999</v>
      </c>
      <c r="V7" s="106">
        <v>514.4</v>
      </c>
      <c r="W7" s="109">
        <f>V7/O7-1</f>
        <v>1.6600790513834118E-2</v>
      </c>
      <c r="X7" s="110"/>
      <c r="Y7" s="105">
        <f>SUM(Y3:Y6)</f>
        <v>135.19999999999999</v>
      </c>
      <c r="Z7" s="111">
        <f>SUM(Z3:Z6)</f>
        <v>144.70000000000002</v>
      </c>
      <c r="AA7" s="111">
        <f>SUM(AA3:AA6)</f>
        <v>134.79999999999998</v>
      </c>
      <c r="AB7" s="111">
        <f>SUM(AB3:AB6)</f>
        <v>142.30000000000001</v>
      </c>
      <c r="AC7" s="111">
        <f>SUM(AC3:AC6)</f>
        <v>557</v>
      </c>
      <c r="AD7" s="109">
        <f t="shared" si="2"/>
        <v>8.2814930015552068E-2</v>
      </c>
      <c r="AE7" s="111">
        <f>SUM(AE3:AE6)</f>
        <v>132.1</v>
      </c>
      <c r="AF7" s="111">
        <f>SUM(AF3:AF6)</f>
        <v>144.80000000000001</v>
      </c>
      <c r="AG7" s="111">
        <f>SUM(AG3:AG6)</f>
        <v>127.89999999999999</v>
      </c>
      <c r="AH7" s="111">
        <f>SUM(AH3:AH6)</f>
        <v>156.10000000000002</v>
      </c>
      <c r="AI7" s="111">
        <v>561</v>
      </c>
      <c r="AJ7" s="109">
        <f>AI7/AC7-1</f>
        <v>7.1813285457809073E-3</v>
      </c>
      <c r="AK7" s="132">
        <v>136.6</v>
      </c>
      <c r="AL7" s="144">
        <v>148.4</v>
      </c>
      <c r="AM7" s="144">
        <v>132.1</v>
      </c>
      <c r="AN7" s="144">
        <v>144.4</v>
      </c>
      <c r="AO7" s="144">
        <v>561.5</v>
      </c>
      <c r="AP7" s="237">
        <f t="shared" si="3"/>
        <v>8.9126559714802767E-4</v>
      </c>
      <c r="AQ7" s="144">
        <v>143.19999999999999</v>
      </c>
      <c r="AR7" s="144">
        <v>149.5</v>
      </c>
      <c r="AS7" s="144">
        <v>137.1</v>
      </c>
      <c r="AT7" s="144">
        <v>135.14400000000001</v>
      </c>
      <c r="AU7" s="238">
        <f>AU3+AU4+AU5+AU6</f>
        <v>565</v>
      </c>
      <c r="AV7" s="237">
        <f t="shared" si="4"/>
        <v>6.2333036509349959E-3</v>
      </c>
      <c r="AW7" s="238">
        <f>AW3+AW4+AW5+AW6</f>
        <v>156.91399999999999</v>
      </c>
      <c r="AX7" s="238">
        <v>146.994</v>
      </c>
      <c r="AY7" s="238">
        <v>140.6</v>
      </c>
      <c r="AZ7" s="238">
        <f>SUM(AZ3:AZ6)</f>
        <v>140.24528899999999</v>
      </c>
      <c r="BA7" s="238">
        <v>584.70000000000005</v>
      </c>
      <c r="BB7" s="237">
        <f t="shared" si="5"/>
        <v>3.4867256637168165E-2</v>
      </c>
      <c r="BC7" s="238">
        <f>SUM(BC3:BC6)</f>
        <v>158.82764</v>
      </c>
      <c r="BD7" s="238">
        <v>143.9</v>
      </c>
      <c r="BE7" s="238">
        <f>BE3+BE4+BE5+BE6</f>
        <v>144.05089000000004</v>
      </c>
      <c r="BF7" s="238">
        <v>142.99141499999999</v>
      </c>
      <c r="BG7" s="238">
        <v>589.79999999999995</v>
      </c>
      <c r="BH7" s="237">
        <f t="shared" si="6"/>
        <v>8.7224217547459126E-3</v>
      </c>
      <c r="BI7" s="238">
        <f>BI3+BI4+BI5+BI6</f>
        <v>143.288995</v>
      </c>
      <c r="BJ7" s="238">
        <f>SUM(BJ3:BJ6)</f>
        <v>142.52734499999997</v>
      </c>
      <c r="BK7" s="238">
        <v>139.27982399999999</v>
      </c>
      <c r="BL7" s="238">
        <f>BL3+BL4+BL5+BL6</f>
        <v>147.37185300000002</v>
      </c>
      <c r="BM7" s="238">
        <f t="shared" si="8"/>
        <v>572.46801699999992</v>
      </c>
      <c r="BN7" s="238">
        <f>BN3+BN4+BN5+BN6</f>
        <v>142.43344999999999</v>
      </c>
      <c r="BO7" s="359">
        <f>SUM(BO3:BO6)</f>
        <v>151.08420599999999</v>
      </c>
      <c r="BP7" s="479">
        <f t="shared" si="7"/>
        <v>6.003662665574816E-2</v>
      </c>
      <c r="BQ7" s="323"/>
      <c r="BR7" s="471"/>
      <c r="BS7" s="467"/>
      <c r="BT7" s="472"/>
      <c r="BU7" s="323"/>
    </row>
    <row r="8" spans="1:73">
      <c r="A8" s="539" t="s">
        <v>313</v>
      </c>
      <c r="B8" s="113">
        <v>1245</v>
      </c>
      <c r="C8" s="63"/>
      <c r="D8" s="64">
        <v>216.4</v>
      </c>
      <c r="E8" s="76">
        <v>328.1</v>
      </c>
      <c r="F8" s="76">
        <v>301.2</v>
      </c>
      <c r="G8" s="76">
        <v>343</v>
      </c>
      <c r="H8" s="113">
        <v>1188.7</v>
      </c>
      <c r="I8" s="77">
        <f t="shared" si="0"/>
        <v>-4.5220883534136558E-2</v>
      </c>
      <c r="J8" s="66"/>
      <c r="K8" s="64">
        <v>247</v>
      </c>
      <c r="L8" s="76">
        <v>308</v>
      </c>
      <c r="M8" s="76">
        <v>258</v>
      </c>
      <c r="N8" s="76">
        <v>372</v>
      </c>
      <c r="O8" s="76">
        <v>1185</v>
      </c>
      <c r="P8" s="77">
        <f t="shared" si="1"/>
        <v>-3.1126440649449361E-3</v>
      </c>
      <c r="Q8" s="66"/>
      <c r="R8" s="64">
        <v>207</v>
      </c>
      <c r="S8" s="76">
        <v>245</v>
      </c>
      <c r="T8" s="76">
        <v>349.9</v>
      </c>
      <c r="U8" s="76">
        <v>344.8</v>
      </c>
      <c r="V8" s="76">
        <v>1146.8</v>
      </c>
      <c r="W8" s="101">
        <f>V8/O8-1</f>
        <v>-3.223628691983127E-2</v>
      </c>
      <c r="X8" s="67"/>
      <c r="Y8" s="64">
        <v>325.3</v>
      </c>
      <c r="Z8" s="68">
        <v>380.5</v>
      </c>
      <c r="AA8" s="68">
        <v>323.3</v>
      </c>
      <c r="AB8" s="68">
        <v>363.7</v>
      </c>
      <c r="AC8" s="114">
        <v>1393</v>
      </c>
      <c r="AD8" s="101">
        <f t="shared" si="2"/>
        <v>0.21468433903034545</v>
      </c>
      <c r="AE8" s="68">
        <v>345.3</v>
      </c>
      <c r="AF8" s="68">
        <v>364</v>
      </c>
      <c r="AG8" s="68">
        <v>280.7</v>
      </c>
      <c r="AH8" s="68">
        <v>379</v>
      </c>
      <c r="AI8" s="114">
        <v>1369</v>
      </c>
      <c r="AJ8" s="101">
        <f>AI8/AC8-1</f>
        <v>-1.7229002153625217E-2</v>
      </c>
      <c r="AK8" s="131">
        <v>278.8</v>
      </c>
      <c r="AL8" s="142">
        <v>340.4</v>
      </c>
      <c r="AM8" s="142">
        <v>331.4</v>
      </c>
      <c r="AN8" s="142">
        <v>298.39999999999998</v>
      </c>
      <c r="AO8" s="114">
        <v>1248.9000000000001</v>
      </c>
      <c r="AP8" s="236">
        <f t="shared" si="3"/>
        <v>-8.7728268809349808E-2</v>
      </c>
      <c r="AQ8" s="142">
        <v>380.5</v>
      </c>
      <c r="AR8" s="142">
        <v>333.1</v>
      </c>
      <c r="AS8" s="143">
        <v>323.82100000000003</v>
      </c>
      <c r="AT8" s="143">
        <v>300.91899999999998</v>
      </c>
      <c r="AU8" s="114">
        <v>1338.3</v>
      </c>
      <c r="AV8" s="236">
        <f t="shared" si="4"/>
        <v>7.1582993033869613E-2</v>
      </c>
      <c r="AW8" s="114">
        <v>372.15600000000001</v>
      </c>
      <c r="AX8" s="114">
        <v>311.214</v>
      </c>
      <c r="AY8" s="114">
        <v>357.3</v>
      </c>
      <c r="AZ8" s="143">
        <v>310.89999999999998</v>
      </c>
      <c r="BA8" s="329">
        <f>AZ8+AY8+AX8+AW8</f>
        <v>1351.57</v>
      </c>
      <c r="BB8" s="236">
        <f t="shared" si="5"/>
        <v>9.9155645221549182E-3</v>
      </c>
      <c r="BC8" s="143">
        <v>336.21499</v>
      </c>
      <c r="BD8" s="143">
        <v>342.79</v>
      </c>
      <c r="BE8" s="143">
        <v>320.94666999999998</v>
      </c>
      <c r="BF8" s="143">
        <v>347</v>
      </c>
      <c r="BG8" s="329">
        <v>1347</v>
      </c>
      <c r="BH8" s="236">
        <f t="shared" si="6"/>
        <v>-3.3812529132786207E-3</v>
      </c>
      <c r="BI8" s="143">
        <v>332.8</v>
      </c>
      <c r="BJ8" s="143">
        <v>351</v>
      </c>
      <c r="BK8" s="143">
        <v>304.425656</v>
      </c>
      <c r="BL8" s="143">
        <v>347.39498600000002</v>
      </c>
      <c r="BM8" s="329">
        <f t="shared" si="8"/>
        <v>1335.6206419999999</v>
      </c>
      <c r="BN8" s="329">
        <v>337.90168999999997</v>
      </c>
      <c r="BO8" s="463">
        <v>374.29599999999999</v>
      </c>
      <c r="BP8" s="446">
        <f t="shared" si="7"/>
        <v>6.6370370370370413E-2</v>
      </c>
      <c r="BQ8" s="323"/>
      <c r="BR8" s="473"/>
      <c r="BS8" s="467"/>
      <c r="BT8" s="466"/>
      <c r="BU8" s="323"/>
    </row>
    <row r="9" spans="1:73">
      <c r="A9" s="539" t="s">
        <v>424</v>
      </c>
      <c r="B9" s="100">
        <v>0</v>
      </c>
      <c r="C9" s="63"/>
      <c r="D9" s="64" t="s">
        <v>32</v>
      </c>
      <c r="E9" s="76" t="s">
        <v>32</v>
      </c>
      <c r="F9" s="76" t="s">
        <v>32</v>
      </c>
      <c r="G9" s="76" t="s">
        <v>32</v>
      </c>
      <c r="H9" s="76">
        <v>91</v>
      </c>
      <c r="I9" s="77" t="s">
        <v>31</v>
      </c>
      <c r="J9" s="66"/>
      <c r="K9" s="64">
        <v>0</v>
      </c>
      <c r="L9" s="76">
        <v>0</v>
      </c>
      <c r="M9" s="76">
        <v>0</v>
      </c>
      <c r="N9" s="76">
        <v>0</v>
      </c>
      <c r="O9" s="76">
        <v>0</v>
      </c>
      <c r="P9" s="77" t="s">
        <v>31</v>
      </c>
      <c r="Q9" s="66"/>
      <c r="R9" s="64">
        <v>0</v>
      </c>
      <c r="S9" s="76">
        <v>33.799999999999997</v>
      </c>
      <c r="T9" s="76">
        <v>33.200000000000003</v>
      </c>
      <c r="U9" s="76">
        <v>13.5</v>
      </c>
      <c r="V9" s="76">
        <v>80.599999999999994</v>
      </c>
      <c r="W9" s="101" t="s">
        <v>32</v>
      </c>
      <c r="X9" s="67"/>
      <c r="Y9" s="64">
        <v>0</v>
      </c>
      <c r="Z9" s="68">
        <v>0</v>
      </c>
      <c r="AA9" s="68">
        <v>0</v>
      </c>
      <c r="AB9" s="68">
        <v>0</v>
      </c>
      <c r="AC9" s="68">
        <v>0</v>
      </c>
      <c r="AD9" s="102" t="s">
        <v>15</v>
      </c>
      <c r="AE9" s="68">
        <v>0</v>
      </c>
      <c r="AF9" s="68">
        <v>0</v>
      </c>
      <c r="AG9" s="68">
        <v>0</v>
      </c>
      <c r="AH9" s="68">
        <v>0</v>
      </c>
      <c r="AI9" s="68">
        <v>0</v>
      </c>
      <c r="AJ9" s="102" t="s">
        <v>15</v>
      </c>
      <c r="AK9" s="131">
        <v>0</v>
      </c>
      <c r="AL9" s="143">
        <v>0</v>
      </c>
      <c r="AM9" s="143">
        <v>0</v>
      </c>
      <c r="AN9" s="143">
        <v>0</v>
      </c>
      <c r="AO9" s="143">
        <v>0</v>
      </c>
      <c r="AP9" s="236" t="s">
        <v>15</v>
      </c>
      <c r="AQ9" s="143">
        <v>0</v>
      </c>
      <c r="AR9" s="143">
        <v>0</v>
      </c>
      <c r="AS9" s="143">
        <v>0</v>
      </c>
      <c r="AT9" s="143">
        <v>0</v>
      </c>
      <c r="AU9" s="143">
        <v>0</v>
      </c>
      <c r="AV9" s="236" t="s">
        <v>15</v>
      </c>
      <c r="AW9" s="143">
        <v>0</v>
      </c>
      <c r="AX9" s="143">
        <v>0</v>
      </c>
      <c r="AY9" s="143">
        <v>0</v>
      </c>
      <c r="AZ9" s="143">
        <v>0</v>
      </c>
      <c r="BA9" s="143">
        <v>0</v>
      </c>
      <c r="BB9" s="236" t="s">
        <v>15</v>
      </c>
      <c r="BC9" s="143">
        <v>0</v>
      </c>
      <c r="BD9" s="143">
        <v>0</v>
      </c>
      <c r="BE9" s="143">
        <v>0</v>
      </c>
      <c r="BF9" s="143">
        <v>0</v>
      </c>
      <c r="BG9" s="143">
        <v>0</v>
      </c>
      <c r="BH9" s="236" t="s">
        <v>15</v>
      </c>
      <c r="BI9" s="143">
        <v>0</v>
      </c>
      <c r="BJ9" s="143">
        <v>0</v>
      </c>
      <c r="BK9" s="143">
        <v>0</v>
      </c>
      <c r="BL9" s="143">
        <v>0</v>
      </c>
      <c r="BM9" s="143">
        <f t="shared" si="8"/>
        <v>0</v>
      </c>
      <c r="BN9" s="143">
        <v>0</v>
      </c>
      <c r="BO9" s="358">
        <v>0</v>
      </c>
      <c r="BP9" s="446" t="s">
        <v>15</v>
      </c>
      <c r="BQ9" s="323"/>
      <c r="BR9" s="474"/>
      <c r="BS9" s="467"/>
      <c r="BT9" s="466"/>
      <c r="BU9" s="323"/>
    </row>
    <row r="10" spans="1:73">
      <c r="A10" s="539" t="s">
        <v>425</v>
      </c>
      <c r="B10" s="113">
        <v>2660</v>
      </c>
      <c r="C10" s="63"/>
      <c r="D10" s="64">
        <v>857</v>
      </c>
      <c r="E10" s="76">
        <v>751</v>
      </c>
      <c r="F10" s="113">
        <v>1032</v>
      </c>
      <c r="G10" s="76">
        <v>859</v>
      </c>
      <c r="H10" s="113">
        <v>3499</v>
      </c>
      <c r="I10" s="77">
        <f t="shared" si="0"/>
        <v>0.31541353383458648</v>
      </c>
      <c r="J10" s="66"/>
      <c r="K10" s="64">
        <v>960</v>
      </c>
      <c r="L10" s="76">
        <v>865</v>
      </c>
      <c r="M10" s="76">
        <v>908</v>
      </c>
      <c r="N10" s="76">
        <v>909</v>
      </c>
      <c r="O10" s="114">
        <f>SUM(K10:N10)</f>
        <v>3642</v>
      </c>
      <c r="P10" s="77">
        <f t="shared" si="1"/>
        <v>4.086881966276068E-2</v>
      </c>
      <c r="Q10" s="66"/>
      <c r="R10" s="64">
        <v>631.20000000000005</v>
      </c>
      <c r="S10" s="76">
        <v>589</v>
      </c>
      <c r="T10" s="76">
        <v>708</v>
      </c>
      <c r="U10" s="76">
        <v>679</v>
      </c>
      <c r="V10" s="113">
        <v>2607</v>
      </c>
      <c r="W10" s="101">
        <f>V10/O10-1</f>
        <v>-0.28418451400329492</v>
      </c>
      <c r="X10" s="67"/>
      <c r="Y10" s="64">
        <v>631</v>
      </c>
      <c r="Z10" s="68">
        <v>945</v>
      </c>
      <c r="AA10" s="68">
        <v>560</v>
      </c>
      <c r="AB10" s="114">
        <v>1017</v>
      </c>
      <c r="AC10" s="114">
        <v>3154</v>
      </c>
      <c r="AD10" s="101">
        <f t="shared" si="2"/>
        <v>0.20981971614882999</v>
      </c>
      <c r="AE10" s="68">
        <v>946</v>
      </c>
      <c r="AF10" s="68">
        <v>615</v>
      </c>
      <c r="AG10" s="68">
        <v>532</v>
      </c>
      <c r="AH10" s="114">
        <v>1021</v>
      </c>
      <c r="AI10" s="114">
        <v>3115</v>
      </c>
      <c r="AJ10" s="101">
        <f>AI10/AC10-1</f>
        <v>-1.2365250475586564E-2</v>
      </c>
      <c r="AK10" s="131">
        <v>580</v>
      </c>
      <c r="AL10" s="143">
        <v>604</v>
      </c>
      <c r="AM10" s="143">
        <v>636.29999999999995</v>
      </c>
      <c r="AN10" s="143">
        <v>605.63</v>
      </c>
      <c r="AO10" s="114">
        <v>2426</v>
      </c>
      <c r="AP10" s="236">
        <f t="shared" si="3"/>
        <v>-0.22118780096308188</v>
      </c>
      <c r="AQ10" s="143">
        <v>756</v>
      </c>
      <c r="AR10" s="143">
        <v>544</v>
      </c>
      <c r="AS10" s="143">
        <v>689.5</v>
      </c>
      <c r="AT10" s="143">
        <v>512.54</v>
      </c>
      <c r="AU10" s="114">
        <v>2502</v>
      </c>
      <c r="AV10" s="236">
        <f t="shared" si="4"/>
        <v>3.1327287716405694E-2</v>
      </c>
      <c r="AW10" s="114">
        <v>1242.27</v>
      </c>
      <c r="AX10" s="114">
        <v>828.6</v>
      </c>
      <c r="AY10" s="114">
        <v>894.9</v>
      </c>
      <c r="AZ10" s="143">
        <v>597.98659999999995</v>
      </c>
      <c r="BA10" s="329">
        <v>3563.7</v>
      </c>
      <c r="BB10" s="236">
        <f t="shared" si="5"/>
        <v>0.4243405275779375</v>
      </c>
      <c r="BC10" s="143">
        <v>782.87900000000002</v>
      </c>
      <c r="BD10" s="143">
        <v>854.31</v>
      </c>
      <c r="BE10" s="143">
        <v>560.72</v>
      </c>
      <c r="BF10" s="143">
        <v>622.75</v>
      </c>
      <c r="BG10" s="329">
        <v>2820.6589999999997</v>
      </c>
      <c r="BH10" s="236">
        <f t="shared" si="6"/>
        <v>-0.20850267979908532</v>
      </c>
      <c r="BI10" s="143">
        <v>787.5</v>
      </c>
      <c r="BJ10" s="143">
        <v>671.7</v>
      </c>
      <c r="BK10" s="143">
        <v>546.69299999999998</v>
      </c>
      <c r="BL10" s="143">
        <v>761.27</v>
      </c>
      <c r="BM10" s="329">
        <f>BI10+BJ10+BK10+BL10</f>
        <v>2767.163</v>
      </c>
      <c r="BN10" s="329">
        <v>606.59199999999998</v>
      </c>
      <c r="BO10" s="463">
        <v>1026.4090000000001</v>
      </c>
      <c r="BP10" s="446">
        <f t="shared" si="7"/>
        <v>0.52807652225696011</v>
      </c>
      <c r="BQ10" s="323"/>
      <c r="BR10" s="466"/>
      <c r="BS10" s="467"/>
      <c r="BT10" s="466"/>
      <c r="BU10" s="323"/>
    </row>
    <row r="11" spans="1:73">
      <c r="A11" s="539" t="s">
        <v>315</v>
      </c>
      <c r="B11" s="100">
        <v>30.4</v>
      </c>
      <c r="C11" s="63"/>
      <c r="D11" s="64">
        <v>7.4</v>
      </c>
      <c r="E11" s="76">
        <v>8.1999999999999993</v>
      </c>
      <c r="F11" s="76">
        <v>6.2</v>
      </c>
      <c r="G11" s="76">
        <v>7.8</v>
      </c>
      <c r="H11" s="76">
        <v>29.7</v>
      </c>
      <c r="I11" s="77">
        <f t="shared" si="0"/>
        <v>-2.3026315789473673E-2</v>
      </c>
      <c r="J11" s="66"/>
      <c r="K11" s="64">
        <v>7.6</v>
      </c>
      <c r="L11" s="76">
        <v>7</v>
      </c>
      <c r="M11" s="76">
        <v>7.5</v>
      </c>
      <c r="N11" s="76">
        <v>7.5</v>
      </c>
      <c r="O11" s="76">
        <v>29.6</v>
      </c>
      <c r="P11" s="77">
        <f t="shared" si="1"/>
        <v>-3.3670033670032407E-3</v>
      </c>
      <c r="Q11" s="66"/>
      <c r="R11" s="64">
        <v>7.4</v>
      </c>
      <c r="S11" s="76">
        <v>6.7</v>
      </c>
      <c r="T11" s="76">
        <v>7.8</v>
      </c>
      <c r="U11" s="76">
        <v>8.6</v>
      </c>
      <c r="V11" s="76">
        <v>30.5</v>
      </c>
      <c r="W11" s="101">
        <f>V11/O11-1</f>
        <v>3.0405405405405261E-2</v>
      </c>
      <c r="X11" s="67"/>
      <c r="Y11" s="64">
        <v>7.8</v>
      </c>
      <c r="Z11" s="68">
        <v>7.2</v>
      </c>
      <c r="AA11" s="68">
        <v>6.6</v>
      </c>
      <c r="AB11" s="68">
        <v>8.3000000000000007</v>
      </c>
      <c r="AC11" s="68">
        <v>30</v>
      </c>
      <c r="AD11" s="101">
        <f>AC11/V11-1</f>
        <v>-1.6393442622950838E-2</v>
      </c>
      <c r="AE11" s="68">
        <v>7.4</v>
      </c>
      <c r="AF11" s="68">
        <v>7.2</v>
      </c>
      <c r="AG11" s="68">
        <v>6.7</v>
      </c>
      <c r="AH11" s="68">
        <v>7.7</v>
      </c>
      <c r="AI11" s="68">
        <v>29</v>
      </c>
      <c r="AJ11" s="101">
        <f>AI11/AC11-1</f>
        <v>-3.3333333333333326E-2</v>
      </c>
      <c r="AK11" s="131">
        <v>8.3000000000000007</v>
      </c>
      <c r="AL11" s="142">
        <v>8.1999999999999993</v>
      </c>
      <c r="AM11" s="142">
        <v>6.3</v>
      </c>
      <c r="AN11" s="142">
        <v>7.8</v>
      </c>
      <c r="AO11" s="142">
        <v>30.7</v>
      </c>
      <c r="AP11" s="236">
        <f t="shared" si="3"/>
        <v>5.862068965517242E-2</v>
      </c>
      <c r="AQ11" s="143">
        <v>7</v>
      </c>
      <c r="AR11" s="143">
        <v>8</v>
      </c>
      <c r="AS11" s="143">
        <v>6.6849999999999996</v>
      </c>
      <c r="AT11" s="143">
        <v>7.5250000000000004</v>
      </c>
      <c r="AU11" s="143">
        <v>29.297999999999998</v>
      </c>
      <c r="AV11" s="236">
        <f t="shared" si="4"/>
        <v>-4.5667752442996812E-2</v>
      </c>
      <c r="AW11" s="143">
        <v>6.7709999999999999</v>
      </c>
      <c r="AX11" s="143">
        <v>6.9016000000000002</v>
      </c>
      <c r="AY11" s="143">
        <v>5.2</v>
      </c>
      <c r="AZ11" s="143">
        <v>6.7</v>
      </c>
      <c r="BA11" s="143">
        <f>AZ11+AY11+AX11+AW11</f>
        <v>25.572600000000001</v>
      </c>
      <c r="BB11" s="236">
        <f t="shared" si="5"/>
        <v>-0.12715543723121026</v>
      </c>
      <c r="BC11" s="143">
        <v>5.6806380000000001</v>
      </c>
      <c r="BD11" s="143">
        <v>10.6</v>
      </c>
      <c r="BE11" s="143">
        <v>7.2</v>
      </c>
      <c r="BF11" s="143">
        <v>8.1999999999999993</v>
      </c>
      <c r="BG11" s="143">
        <v>31.7</v>
      </c>
      <c r="BH11" s="236">
        <f t="shared" si="6"/>
        <v>0.23960801795671927</v>
      </c>
      <c r="BI11" s="143">
        <v>7.4</v>
      </c>
      <c r="BJ11" s="143">
        <v>8.3000000000000007</v>
      </c>
      <c r="BK11" s="143">
        <v>7.313752</v>
      </c>
      <c r="BL11" s="143">
        <v>7.5430520000000003</v>
      </c>
      <c r="BM11" s="143">
        <f t="shared" si="8"/>
        <v>30.556804</v>
      </c>
      <c r="BN11" s="143">
        <v>7.752624</v>
      </c>
      <c r="BO11" s="358">
        <v>7.6664279999999998</v>
      </c>
      <c r="BP11" s="446">
        <f t="shared" si="7"/>
        <v>-7.633397590361457E-2</v>
      </c>
      <c r="BQ11" s="323"/>
      <c r="BR11" s="468"/>
      <c r="BS11" s="468"/>
      <c r="BT11" s="467"/>
      <c r="BU11" s="323"/>
    </row>
    <row r="12" spans="1:73" ht="16.5" customHeight="1">
      <c r="A12" s="551" t="s">
        <v>316</v>
      </c>
      <c r="B12" s="76"/>
      <c r="C12" s="74"/>
      <c r="D12" s="76"/>
      <c r="E12" s="76"/>
      <c r="F12" s="76"/>
      <c r="G12" s="76"/>
      <c r="H12" s="76"/>
      <c r="I12" s="101"/>
      <c r="J12" s="67"/>
      <c r="K12" s="76"/>
      <c r="L12" s="76"/>
      <c r="M12" s="76"/>
      <c r="N12" s="76"/>
      <c r="O12" s="76"/>
      <c r="P12" s="77"/>
      <c r="Q12" s="66"/>
      <c r="R12" s="76"/>
      <c r="S12" s="76"/>
      <c r="T12" s="76"/>
      <c r="U12" s="76"/>
      <c r="V12" s="76"/>
      <c r="W12" s="101"/>
      <c r="X12" s="67"/>
      <c r="Y12" s="76"/>
      <c r="Z12" s="68"/>
      <c r="AA12" s="59"/>
      <c r="AB12" s="59"/>
      <c r="AC12" s="59"/>
      <c r="AD12" s="115"/>
      <c r="AE12" s="68"/>
      <c r="AF12" s="68"/>
      <c r="AG12" s="68"/>
      <c r="AH12" s="68"/>
      <c r="AI12" s="68"/>
      <c r="AJ12" s="115"/>
      <c r="AK12" s="131"/>
      <c r="AL12" s="135"/>
      <c r="AM12" s="135"/>
      <c r="AN12" s="135"/>
      <c r="AO12" s="135"/>
      <c r="AP12" s="236"/>
      <c r="AQ12" s="135"/>
      <c r="AR12" s="135"/>
      <c r="AS12" s="135"/>
      <c r="AT12" s="135"/>
      <c r="AU12" s="135"/>
      <c r="AV12" s="236"/>
      <c r="AW12" s="135"/>
      <c r="AX12" s="135"/>
      <c r="AY12" s="135"/>
      <c r="AZ12" s="135"/>
      <c r="BA12" s="135"/>
      <c r="BB12" s="135"/>
      <c r="BC12" s="135"/>
      <c r="BD12" s="135"/>
      <c r="BE12" s="135"/>
      <c r="BF12" s="135"/>
      <c r="BG12" s="135"/>
      <c r="BH12" s="135"/>
      <c r="BI12" s="135"/>
      <c r="BJ12" s="135"/>
      <c r="BK12" s="135"/>
      <c r="BL12" s="135"/>
      <c r="BM12" s="135"/>
      <c r="BN12" s="135"/>
      <c r="BO12" s="135"/>
      <c r="BP12" s="135"/>
      <c r="BR12" s="466"/>
      <c r="BS12" s="466"/>
      <c r="BT12" s="466"/>
      <c r="BU12" s="323"/>
    </row>
    <row r="13" spans="1:73">
      <c r="A13" s="539" t="s">
        <v>317</v>
      </c>
      <c r="B13" s="100">
        <v>98.9</v>
      </c>
      <c r="C13" s="63"/>
      <c r="D13" s="64">
        <v>22.6</v>
      </c>
      <c r="E13" s="76">
        <v>22</v>
      </c>
      <c r="F13" s="76">
        <v>21.1</v>
      </c>
      <c r="G13" s="76">
        <v>24.6</v>
      </c>
      <c r="H13" s="76">
        <v>90.2</v>
      </c>
      <c r="I13" s="77">
        <f>H13/B13-1</f>
        <v>-8.7967644084934293E-2</v>
      </c>
      <c r="J13" s="66"/>
      <c r="K13" s="64">
        <v>17.2</v>
      </c>
      <c r="L13" s="76">
        <v>19.2</v>
      </c>
      <c r="M13" s="76">
        <v>18.2</v>
      </c>
      <c r="N13" s="76">
        <v>25.4</v>
      </c>
      <c r="O13" s="76">
        <f>SUM(K13:N13)</f>
        <v>80</v>
      </c>
      <c r="P13" s="77">
        <f>O13/H13-1</f>
        <v>-0.11308203991130827</v>
      </c>
      <c r="Q13" s="66"/>
      <c r="R13" s="64">
        <v>17.3</v>
      </c>
      <c r="S13" s="76">
        <v>21.1</v>
      </c>
      <c r="T13" s="76">
        <v>18.3</v>
      </c>
      <c r="U13" s="76">
        <v>21.3</v>
      </c>
      <c r="V13" s="76">
        <v>78</v>
      </c>
      <c r="W13" s="101">
        <f>V13/O13-1</f>
        <v>-2.5000000000000022E-2</v>
      </c>
      <c r="X13" s="67"/>
      <c r="Y13" s="64">
        <v>18</v>
      </c>
      <c r="Z13" s="68">
        <v>18.5</v>
      </c>
      <c r="AA13" s="68">
        <v>16.899999999999999</v>
      </c>
      <c r="AB13" s="68">
        <v>20.7</v>
      </c>
      <c r="AC13" s="68">
        <v>74.099999999999994</v>
      </c>
      <c r="AD13" s="101">
        <f t="shared" ref="AD13:AD18" si="9">AC13/V13-1</f>
        <v>-5.0000000000000044E-2</v>
      </c>
      <c r="AE13" s="68">
        <v>18</v>
      </c>
      <c r="AF13" s="68">
        <v>17</v>
      </c>
      <c r="AG13" s="68">
        <v>19.2</v>
      </c>
      <c r="AH13" s="68">
        <v>17.7</v>
      </c>
      <c r="AI13" s="68">
        <v>71.900000000000006</v>
      </c>
      <c r="AJ13" s="101">
        <f>AI13/AC13-1</f>
        <v>-2.9689608636976894E-2</v>
      </c>
      <c r="AK13" s="131">
        <v>17.399999999999999</v>
      </c>
      <c r="AL13" s="142">
        <v>13.7</v>
      </c>
      <c r="AM13" s="143">
        <v>20</v>
      </c>
      <c r="AN13" s="143">
        <v>15.1</v>
      </c>
      <c r="AO13" s="143">
        <v>66.199999999999989</v>
      </c>
      <c r="AP13" s="236">
        <f t="shared" si="3"/>
        <v>-7.9276773296245051E-2</v>
      </c>
      <c r="AQ13" s="143">
        <v>14</v>
      </c>
      <c r="AR13" s="143">
        <v>14.2</v>
      </c>
      <c r="AS13" s="143">
        <v>11.3</v>
      </c>
      <c r="AT13" s="143">
        <v>15.3</v>
      </c>
      <c r="AU13" s="143">
        <v>54.8</v>
      </c>
      <c r="AV13" s="236">
        <f t="shared" si="4"/>
        <v>-0.17220543806646516</v>
      </c>
      <c r="AW13" s="143">
        <v>10.7</v>
      </c>
      <c r="AX13" s="143">
        <v>8.4</v>
      </c>
      <c r="AY13" s="143">
        <v>7.9</v>
      </c>
      <c r="AZ13" s="143">
        <v>16.3</v>
      </c>
      <c r="BA13" s="143">
        <v>43.3</v>
      </c>
      <c r="BB13" s="236">
        <f t="shared" si="5"/>
        <v>-0.20985401459854014</v>
      </c>
      <c r="BC13" s="143">
        <v>8.7010000000000005</v>
      </c>
      <c r="BD13" s="143">
        <v>13.8</v>
      </c>
      <c r="BE13" s="143">
        <v>18.8</v>
      </c>
      <c r="BF13" s="143">
        <v>18.600000000000001</v>
      </c>
      <c r="BG13" s="143">
        <v>59.9</v>
      </c>
      <c r="BH13" s="236">
        <f t="shared" si="6"/>
        <v>0.38337182448036966</v>
      </c>
      <c r="BI13" s="143">
        <v>14.2</v>
      </c>
      <c r="BJ13" s="143">
        <v>13.561</v>
      </c>
      <c r="BK13" s="143">
        <v>11.6</v>
      </c>
      <c r="BL13" s="143">
        <v>12</v>
      </c>
      <c r="BM13" s="143">
        <f>BI13+BJ13+BK13+BL13</f>
        <v>51.360999999999997</v>
      </c>
      <c r="BN13" s="143">
        <v>9.8000000000000007</v>
      </c>
      <c r="BO13" s="370">
        <v>9.6</v>
      </c>
      <c r="BP13" s="446">
        <f t="shared" si="7"/>
        <v>-0.29208760415898538</v>
      </c>
      <c r="BR13" s="468"/>
      <c r="BS13" s="467"/>
      <c r="BT13" s="466"/>
      <c r="BU13" s="323"/>
    </row>
    <row r="14" spans="1:73">
      <c r="A14" s="539" t="s">
        <v>318</v>
      </c>
      <c r="B14" s="100">
        <v>2.2000000000000002</v>
      </c>
      <c r="C14" s="63"/>
      <c r="D14" s="64">
        <v>0.5</v>
      </c>
      <c r="E14" s="76">
        <v>0.6</v>
      </c>
      <c r="F14" s="76">
        <v>0.5</v>
      </c>
      <c r="G14" s="76">
        <v>0.5</v>
      </c>
      <c r="H14" s="76">
        <v>2.1</v>
      </c>
      <c r="I14" s="77">
        <f>H14/B14-1</f>
        <v>-4.5454545454545525E-2</v>
      </c>
      <c r="J14" s="66"/>
      <c r="K14" s="64">
        <v>0.3</v>
      </c>
      <c r="L14" s="76">
        <v>0.3</v>
      </c>
      <c r="M14" s="76">
        <v>0.2</v>
      </c>
      <c r="N14" s="76">
        <v>0.3</v>
      </c>
      <c r="O14" s="76">
        <f>SUM(K14:N14)</f>
        <v>1.1000000000000001</v>
      </c>
      <c r="P14" s="77">
        <f>O14/H14-1</f>
        <v>-0.47619047619047616</v>
      </c>
      <c r="Q14" s="66"/>
      <c r="R14" s="64">
        <v>0.2</v>
      </c>
      <c r="S14" s="76">
        <v>0.2</v>
      </c>
      <c r="T14" s="76">
        <v>0.3</v>
      </c>
      <c r="U14" s="76">
        <v>0.2</v>
      </c>
      <c r="V14" s="76">
        <v>0.9</v>
      </c>
      <c r="W14" s="101">
        <f>V14/O14-1</f>
        <v>-0.18181818181818188</v>
      </c>
      <c r="X14" s="67"/>
      <c r="Y14" s="64">
        <v>0.3</v>
      </c>
      <c r="Z14" s="68">
        <v>0.1</v>
      </c>
      <c r="AA14" s="68">
        <v>0.1</v>
      </c>
      <c r="AB14" s="68">
        <v>0.2</v>
      </c>
      <c r="AC14" s="68">
        <v>0.7</v>
      </c>
      <c r="AD14" s="101">
        <f t="shared" si="9"/>
        <v>-0.22222222222222232</v>
      </c>
      <c r="AE14" s="68">
        <v>0.1</v>
      </c>
      <c r="AF14" s="68">
        <v>0.1</v>
      </c>
      <c r="AG14" s="68">
        <v>0.1</v>
      </c>
      <c r="AH14" s="68">
        <v>0.1</v>
      </c>
      <c r="AI14" s="68">
        <v>0.4</v>
      </c>
      <c r="AJ14" s="101">
        <f>AI14/AC14-1</f>
        <v>-0.42857142857142849</v>
      </c>
      <c r="AK14" s="131">
        <v>0.1</v>
      </c>
      <c r="AL14" s="142">
        <v>0.1</v>
      </c>
      <c r="AM14" s="143">
        <v>0.1</v>
      </c>
      <c r="AN14" s="143">
        <v>0.3</v>
      </c>
      <c r="AO14" s="143">
        <v>0.5</v>
      </c>
      <c r="AP14" s="236">
        <f t="shared" si="3"/>
        <v>0.25</v>
      </c>
      <c r="AQ14" s="143">
        <v>0.1</v>
      </c>
      <c r="AR14" s="143">
        <v>0.1</v>
      </c>
      <c r="AS14" s="143">
        <v>0.1</v>
      </c>
      <c r="AT14" s="143">
        <v>0.1</v>
      </c>
      <c r="AU14" s="143">
        <v>0.4</v>
      </c>
      <c r="AV14" s="236">
        <f t="shared" si="4"/>
        <v>-0.19999999999999996</v>
      </c>
      <c r="AW14" s="143">
        <v>0.1</v>
      </c>
      <c r="AX14" s="143">
        <v>0.153</v>
      </c>
      <c r="AY14" s="143">
        <v>0</v>
      </c>
      <c r="AZ14" s="142">
        <v>0.1</v>
      </c>
      <c r="BA14" s="143">
        <v>0.4</v>
      </c>
      <c r="BB14" s="236">
        <f t="shared" si="5"/>
        <v>0</v>
      </c>
      <c r="BC14" s="143">
        <v>0.13900000000000001</v>
      </c>
      <c r="BD14" s="143">
        <v>0.154</v>
      </c>
      <c r="BE14" s="143">
        <v>0.1</v>
      </c>
      <c r="BF14" s="143">
        <v>0</v>
      </c>
      <c r="BG14" s="143">
        <v>0.39600000000000002</v>
      </c>
      <c r="BH14" s="236">
        <f t="shared" si="6"/>
        <v>-1.0000000000000009E-2</v>
      </c>
      <c r="BI14" s="143">
        <v>0.1</v>
      </c>
      <c r="BJ14" s="143">
        <v>2E-3</v>
      </c>
      <c r="BK14" s="143">
        <v>0</v>
      </c>
      <c r="BL14" s="143">
        <v>0</v>
      </c>
      <c r="BM14" s="143">
        <f>BI14+BJ14+BK14+BL14</f>
        <v>0.10200000000000001</v>
      </c>
      <c r="BN14" s="143">
        <v>0</v>
      </c>
      <c r="BO14" s="370">
        <v>0</v>
      </c>
      <c r="BP14" s="446">
        <v>0</v>
      </c>
      <c r="BR14" s="466"/>
      <c r="BS14" s="467"/>
      <c r="BT14" s="466"/>
      <c r="BU14" s="323"/>
    </row>
    <row r="15" spans="1:73">
      <c r="A15" s="539" t="s">
        <v>319</v>
      </c>
      <c r="B15" s="100">
        <v>97</v>
      </c>
      <c r="C15" s="63"/>
      <c r="D15" s="64">
        <v>23</v>
      </c>
      <c r="E15" s="76">
        <v>24.7</v>
      </c>
      <c r="F15" s="76">
        <v>21.7</v>
      </c>
      <c r="G15" s="76">
        <v>25</v>
      </c>
      <c r="H15" s="76">
        <v>94.3</v>
      </c>
      <c r="I15" s="77">
        <f>H15/B15-1</f>
        <v>-2.7835051546391765E-2</v>
      </c>
      <c r="J15" s="66"/>
      <c r="K15" s="64">
        <v>13.8</v>
      </c>
      <c r="L15" s="76">
        <v>19.899999999999999</v>
      </c>
      <c r="M15" s="76">
        <v>17.100000000000001</v>
      </c>
      <c r="N15" s="76">
        <v>21.8</v>
      </c>
      <c r="O15" s="76">
        <f>SUM(K15:N15)</f>
        <v>72.600000000000009</v>
      </c>
      <c r="P15" s="77">
        <f>O15/H15-1</f>
        <v>-0.23011664899257678</v>
      </c>
      <c r="Q15" s="66"/>
      <c r="R15" s="64">
        <v>13.9</v>
      </c>
      <c r="S15" s="76">
        <v>17.7</v>
      </c>
      <c r="T15" s="76">
        <v>16.100000000000001</v>
      </c>
      <c r="U15" s="76">
        <v>18.3</v>
      </c>
      <c r="V15" s="76">
        <v>66</v>
      </c>
      <c r="W15" s="101">
        <f>V15/O15-1</f>
        <v>-9.090909090909105E-2</v>
      </c>
      <c r="X15" s="67"/>
      <c r="Y15" s="64">
        <v>17.2</v>
      </c>
      <c r="Z15" s="68">
        <v>17.899999999999999</v>
      </c>
      <c r="AA15" s="68">
        <v>18.399999999999999</v>
      </c>
      <c r="AB15" s="68">
        <v>24.2</v>
      </c>
      <c r="AC15" s="68">
        <v>77.7</v>
      </c>
      <c r="AD15" s="101">
        <f t="shared" si="9"/>
        <v>0.17727272727272725</v>
      </c>
      <c r="AE15" s="68">
        <v>21.2</v>
      </c>
      <c r="AF15" s="68">
        <v>19.899999999999999</v>
      </c>
      <c r="AG15" s="68">
        <v>17.5</v>
      </c>
      <c r="AH15" s="68">
        <v>12.7</v>
      </c>
      <c r="AI15" s="68">
        <v>71.3</v>
      </c>
      <c r="AJ15" s="101">
        <f>AI15/AC15-1</f>
        <v>-8.2368082368082463E-2</v>
      </c>
      <c r="AK15" s="131">
        <v>12</v>
      </c>
      <c r="AL15" s="142">
        <v>10.6</v>
      </c>
      <c r="AM15" s="143">
        <v>14</v>
      </c>
      <c r="AN15" s="143">
        <v>10.1</v>
      </c>
      <c r="AO15" s="143">
        <v>46.7</v>
      </c>
      <c r="AP15" s="236">
        <f t="shared" si="3"/>
        <v>-0.34502103786816263</v>
      </c>
      <c r="AQ15" s="143">
        <v>11</v>
      </c>
      <c r="AR15" s="143">
        <v>15.9</v>
      </c>
      <c r="AS15" s="143">
        <v>11.5</v>
      </c>
      <c r="AT15" s="143">
        <v>16.8</v>
      </c>
      <c r="AU15" s="143">
        <v>55.2</v>
      </c>
      <c r="AV15" s="236">
        <f t="shared" si="4"/>
        <v>0.1820128479657388</v>
      </c>
      <c r="AW15" s="143">
        <v>12</v>
      </c>
      <c r="AX15" s="143">
        <v>9.6999999999999993</v>
      </c>
      <c r="AY15" s="143">
        <v>6.8</v>
      </c>
      <c r="AZ15" s="143">
        <v>13.6</v>
      </c>
      <c r="BA15" s="143">
        <v>42.13</v>
      </c>
      <c r="BB15" s="236">
        <f t="shared" si="5"/>
        <v>-0.23677536231884055</v>
      </c>
      <c r="BC15" s="143">
        <v>8.9</v>
      </c>
      <c r="BD15" s="143">
        <v>11.5</v>
      </c>
      <c r="BE15" s="143">
        <v>15.2</v>
      </c>
      <c r="BF15" s="143">
        <v>17.753</v>
      </c>
      <c r="BG15" s="143">
        <v>53.4</v>
      </c>
      <c r="BH15" s="236">
        <f t="shared" si="6"/>
        <v>0.26750534061239017</v>
      </c>
      <c r="BI15" s="143">
        <v>14.2</v>
      </c>
      <c r="BJ15" s="143">
        <v>10.792</v>
      </c>
      <c r="BK15" s="143">
        <v>9.9</v>
      </c>
      <c r="BL15" s="143">
        <v>9.9</v>
      </c>
      <c r="BM15" s="143">
        <f>BI15+BJ15+BK15+BL15</f>
        <v>44.791999999999994</v>
      </c>
      <c r="BN15" s="143">
        <v>9.5</v>
      </c>
      <c r="BO15" s="358">
        <v>7.6</v>
      </c>
      <c r="BP15" s="446">
        <f t="shared" si="7"/>
        <v>-0.29577464788732399</v>
      </c>
      <c r="BR15" s="466"/>
      <c r="BS15" s="467"/>
      <c r="BT15" s="466"/>
      <c r="BU15" s="323"/>
    </row>
    <row r="16" spans="1:73" ht="16.5" customHeight="1">
      <c r="A16" s="551" t="s">
        <v>26</v>
      </c>
      <c r="B16" s="76"/>
      <c r="C16" s="74"/>
      <c r="D16" s="76"/>
      <c r="E16" s="76"/>
      <c r="F16" s="76"/>
      <c r="G16" s="76"/>
      <c r="H16" s="76"/>
      <c r="I16" s="77"/>
      <c r="J16" s="66"/>
      <c r="K16" s="76"/>
      <c r="L16" s="76"/>
      <c r="M16" s="76"/>
      <c r="N16" s="76"/>
      <c r="O16" s="76"/>
      <c r="P16" s="77"/>
      <c r="Q16" s="66"/>
      <c r="R16" s="76"/>
      <c r="S16" s="76"/>
      <c r="T16" s="76"/>
      <c r="U16" s="76"/>
      <c r="V16" s="76"/>
      <c r="W16" s="101"/>
      <c r="X16" s="67"/>
      <c r="Y16" s="76"/>
      <c r="Z16" s="68"/>
      <c r="AA16" s="59"/>
      <c r="AB16" s="68"/>
      <c r="AC16" s="68"/>
      <c r="AD16" s="116"/>
      <c r="AE16" s="68"/>
      <c r="AF16" s="68"/>
      <c r="AG16" s="68"/>
      <c r="AH16" s="68"/>
      <c r="AI16" s="68"/>
      <c r="AJ16" s="116"/>
      <c r="AK16" s="131"/>
      <c r="AL16" s="135"/>
      <c r="AM16" s="135"/>
      <c r="AN16" s="135"/>
      <c r="AO16" s="135"/>
      <c r="AP16" s="236"/>
      <c r="AQ16" s="135"/>
      <c r="AR16" s="135"/>
      <c r="AS16" s="135"/>
      <c r="AT16" s="135"/>
      <c r="AU16" s="135"/>
      <c r="AV16" s="236"/>
      <c r="AW16" s="135"/>
      <c r="AX16" s="135"/>
      <c r="AY16" s="135"/>
      <c r="AZ16" s="135"/>
      <c r="BA16" s="135"/>
      <c r="BB16" s="135"/>
      <c r="BC16" s="135"/>
      <c r="BD16" s="135"/>
      <c r="BE16" s="135"/>
      <c r="BF16" s="135"/>
      <c r="BG16" s="135"/>
      <c r="BH16" s="135"/>
      <c r="BI16" s="135"/>
      <c r="BJ16" s="135"/>
      <c r="BK16" s="135"/>
      <c r="BL16" s="135"/>
      <c r="BM16" s="135"/>
      <c r="BN16" s="135"/>
      <c r="BO16" s="135"/>
      <c r="BP16" s="135"/>
      <c r="BR16" s="468"/>
      <c r="BS16" s="467"/>
      <c r="BT16" s="468"/>
      <c r="BU16" s="323"/>
    </row>
    <row r="17" spans="1:73">
      <c r="A17" s="539" t="s">
        <v>317</v>
      </c>
      <c r="B17" s="100">
        <v>28.2</v>
      </c>
      <c r="C17" s="63"/>
      <c r="D17" s="64">
        <v>12.6</v>
      </c>
      <c r="E17" s="76">
        <v>11.4</v>
      </c>
      <c r="F17" s="76">
        <v>13.6</v>
      </c>
      <c r="G17" s="76">
        <v>14.4</v>
      </c>
      <c r="H17" s="76">
        <v>52</v>
      </c>
      <c r="I17" s="77">
        <f>H17/B17-1</f>
        <v>0.84397163120567376</v>
      </c>
      <c r="J17" s="66"/>
      <c r="K17" s="64">
        <v>14.5</v>
      </c>
      <c r="L17" s="76">
        <v>13</v>
      </c>
      <c r="M17" s="76">
        <v>13.6</v>
      </c>
      <c r="N17" s="76">
        <v>13</v>
      </c>
      <c r="O17" s="76">
        <f>SUM(K17:N17)</f>
        <v>54.1</v>
      </c>
      <c r="P17" s="77">
        <f>O17/H17-1</f>
        <v>4.0384615384615463E-2</v>
      </c>
      <c r="Q17" s="66"/>
      <c r="R17" s="64">
        <v>12.6</v>
      </c>
      <c r="S17" s="76">
        <v>10</v>
      </c>
      <c r="T17" s="76">
        <v>13.9</v>
      </c>
      <c r="U17" s="76">
        <v>15.6</v>
      </c>
      <c r="V17" s="76">
        <v>52.1</v>
      </c>
      <c r="W17" s="101">
        <f>V17/O17-1</f>
        <v>-3.6968576709796697E-2</v>
      </c>
      <c r="X17" s="67"/>
      <c r="Y17" s="64">
        <v>14.3</v>
      </c>
      <c r="Z17" s="68">
        <v>16.100000000000001</v>
      </c>
      <c r="AA17" s="68">
        <v>15.8</v>
      </c>
      <c r="AB17" s="68">
        <v>15.02</v>
      </c>
      <c r="AC17" s="68">
        <v>61.215000000000003</v>
      </c>
      <c r="AD17" s="101">
        <f t="shared" si="9"/>
        <v>0.17495201535508631</v>
      </c>
      <c r="AE17" s="68">
        <v>14.9</v>
      </c>
      <c r="AF17" s="68">
        <v>23.1</v>
      </c>
      <c r="AG17" s="68">
        <v>18.7</v>
      </c>
      <c r="AH17" s="68">
        <v>24.5</v>
      </c>
      <c r="AI17" s="68">
        <v>81.2</v>
      </c>
      <c r="AJ17" s="101">
        <f>AI17/AC17-1</f>
        <v>0.32647226986849631</v>
      </c>
      <c r="AK17" s="131">
        <v>21.7</v>
      </c>
      <c r="AL17" s="142">
        <v>27.1</v>
      </c>
      <c r="AM17" s="142">
        <v>27.9</v>
      </c>
      <c r="AN17" s="142">
        <v>25.7</v>
      </c>
      <c r="AO17" s="142">
        <v>102.4</v>
      </c>
      <c r="AP17" s="236">
        <f t="shared" si="3"/>
        <v>0.26108374384236455</v>
      </c>
      <c r="AQ17" s="142">
        <v>23.9</v>
      </c>
      <c r="AR17" s="142">
        <v>20.3</v>
      </c>
      <c r="AS17" s="142">
        <v>23.4</v>
      </c>
      <c r="AT17" s="142">
        <v>23.4</v>
      </c>
      <c r="AU17" s="142">
        <v>90.9</v>
      </c>
      <c r="AV17" s="236">
        <f t="shared" si="4"/>
        <v>-0.1123046875</v>
      </c>
      <c r="AW17" s="142">
        <v>18.899999999999999</v>
      </c>
      <c r="AX17" s="142">
        <v>21.9</v>
      </c>
      <c r="AY17" s="142">
        <v>18.7</v>
      </c>
      <c r="AZ17" s="143">
        <v>20.981999999999999</v>
      </c>
      <c r="BA17" s="143">
        <v>80.527000000000001</v>
      </c>
      <c r="BB17" s="236">
        <f t="shared" si="5"/>
        <v>-0.1141144114411442</v>
      </c>
      <c r="BC17" s="143">
        <v>16.058</v>
      </c>
      <c r="BD17" s="143">
        <v>18.8</v>
      </c>
      <c r="BE17" s="143">
        <v>21.911000000000001</v>
      </c>
      <c r="BF17" s="143">
        <v>24.367999999999999</v>
      </c>
      <c r="BG17" s="143">
        <v>81.137</v>
      </c>
      <c r="BH17" s="236">
        <f t="shared" si="6"/>
        <v>7.5750990351062253E-3</v>
      </c>
      <c r="BI17" s="143">
        <v>20.692</v>
      </c>
      <c r="BJ17" s="143">
        <v>22.091000000000001</v>
      </c>
      <c r="BK17" s="143">
        <v>21</v>
      </c>
      <c r="BL17" s="143">
        <v>23.6</v>
      </c>
      <c r="BM17" s="143">
        <f>BI17+BJ17+BK17+BL17</f>
        <v>87.38300000000001</v>
      </c>
      <c r="BN17" s="143">
        <v>18.7</v>
      </c>
      <c r="BO17" s="358">
        <v>21.1</v>
      </c>
      <c r="BP17" s="446">
        <f t="shared" si="7"/>
        <v>-4.4859897695894269E-2</v>
      </c>
      <c r="BR17" s="466"/>
      <c r="BS17" s="467"/>
      <c r="BT17" s="466"/>
      <c r="BU17" s="323"/>
    </row>
    <row r="18" spans="1:73">
      <c r="A18" s="539" t="s">
        <v>320</v>
      </c>
      <c r="B18" s="100">
        <v>2.4</v>
      </c>
      <c r="C18" s="63"/>
      <c r="D18" s="64">
        <v>3.1</v>
      </c>
      <c r="E18" s="76">
        <v>4.8</v>
      </c>
      <c r="F18" s="76">
        <v>2</v>
      </c>
      <c r="G18" s="76">
        <v>3.4</v>
      </c>
      <c r="H18" s="76">
        <v>13.3</v>
      </c>
      <c r="I18" s="77">
        <f>H18/B18-1</f>
        <v>4.541666666666667</v>
      </c>
      <c r="J18" s="66"/>
      <c r="K18" s="64">
        <v>2.6</v>
      </c>
      <c r="L18" s="76">
        <v>4.5999999999999996</v>
      </c>
      <c r="M18" s="76">
        <v>6</v>
      </c>
      <c r="N18" s="76">
        <v>6.2</v>
      </c>
      <c r="O18" s="76">
        <f>SUM(K18:N18)</f>
        <v>19.399999999999999</v>
      </c>
      <c r="P18" s="77">
        <v>0.47</v>
      </c>
      <c r="Q18" s="66"/>
      <c r="R18" s="64">
        <v>4.0999999999999996</v>
      </c>
      <c r="S18" s="76">
        <v>4.2</v>
      </c>
      <c r="T18" s="76">
        <v>4.5</v>
      </c>
      <c r="U18" s="76">
        <v>4.0999999999999996</v>
      </c>
      <c r="V18" s="76">
        <v>16.899999999999999</v>
      </c>
      <c r="W18" s="101">
        <f>V18/O18-1</f>
        <v>-0.12886597938144329</v>
      </c>
      <c r="X18" s="67"/>
      <c r="Y18" s="64">
        <v>3.4</v>
      </c>
      <c r="Z18" s="68">
        <v>2.4</v>
      </c>
      <c r="AA18" s="68">
        <v>3.2</v>
      </c>
      <c r="AB18" s="68">
        <v>2.6949999999999998</v>
      </c>
      <c r="AC18" s="68">
        <v>11.7</v>
      </c>
      <c r="AD18" s="101">
        <f t="shared" si="9"/>
        <v>-0.30769230769230771</v>
      </c>
      <c r="AE18" s="68">
        <v>2.6</v>
      </c>
      <c r="AF18" s="68">
        <v>2</v>
      </c>
      <c r="AG18" s="68">
        <v>2.2000000000000002</v>
      </c>
      <c r="AH18" s="68">
        <v>2.5</v>
      </c>
      <c r="AI18" s="68">
        <v>9.3000000000000007</v>
      </c>
      <c r="AJ18" s="101">
        <f>AI18/AC18-1</f>
        <v>-0.20512820512820507</v>
      </c>
      <c r="AK18" s="131">
        <v>2.2999999999999998</v>
      </c>
      <c r="AL18" s="142">
        <v>1.9</v>
      </c>
      <c r="AM18" s="142">
        <v>1.7</v>
      </c>
      <c r="AN18" s="142">
        <v>2.1</v>
      </c>
      <c r="AO18" s="143">
        <v>8</v>
      </c>
      <c r="AP18" s="236">
        <f t="shared" si="3"/>
        <v>-0.13978494623655924</v>
      </c>
      <c r="AQ18" s="143">
        <v>0.9</v>
      </c>
      <c r="AR18" s="143">
        <v>1.2</v>
      </c>
      <c r="AS18" s="143">
        <v>0.8</v>
      </c>
      <c r="AT18" s="143">
        <v>1.3</v>
      </c>
      <c r="AU18" s="143">
        <v>4.3</v>
      </c>
      <c r="AV18" s="236">
        <f t="shared" si="4"/>
        <v>-0.46250000000000002</v>
      </c>
      <c r="AW18" s="143">
        <v>0.6</v>
      </c>
      <c r="AX18" s="143">
        <v>0.61399999999999999</v>
      </c>
      <c r="AY18" s="143">
        <v>1</v>
      </c>
      <c r="AZ18" s="143">
        <v>0.97799999999999998</v>
      </c>
      <c r="BA18" s="143">
        <v>3.1909999999999998</v>
      </c>
      <c r="BB18" s="236">
        <f t="shared" si="5"/>
        <v>-0.25790697674418606</v>
      </c>
      <c r="BC18" s="143">
        <v>1.008</v>
      </c>
      <c r="BD18" s="143">
        <v>0.67500000000000004</v>
      </c>
      <c r="BE18" s="143">
        <v>0.501</v>
      </c>
      <c r="BF18" s="143">
        <v>1.3</v>
      </c>
      <c r="BG18" s="143">
        <v>3.5430000000000001</v>
      </c>
      <c r="BH18" s="236">
        <f t="shared" si="6"/>
        <v>0.11031024757129426</v>
      </c>
      <c r="BI18" s="143">
        <v>0.9</v>
      </c>
      <c r="BJ18" s="143">
        <v>0.64500000000000002</v>
      </c>
      <c r="BK18" s="143">
        <v>1.7</v>
      </c>
      <c r="BL18" s="143">
        <v>1.8</v>
      </c>
      <c r="BM18" s="143">
        <f>BI18+BJ18+BK18+BL18</f>
        <v>5.0449999999999999</v>
      </c>
      <c r="BN18" s="143">
        <v>0.9</v>
      </c>
      <c r="BO18" s="370">
        <v>1.3</v>
      </c>
      <c r="BP18" s="446">
        <f t="shared" si="7"/>
        <v>1.0155038759689923</v>
      </c>
      <c r="BR18" s="466"/>
      <c r="BS18" s="467"/>
      <c r="BT18" s="466"/>
      <c r="BU18" s="323"/>
    </row>
    <row r="19" spans="1:73" ht="13.5">
      <c r="A19"/>
    </row>
    <row r="20" spans="1:73" ht="22.5">
      <c r="A20" s="552" t="s">
        <v>426</v>
      </c>
    </row>
    <row r="21" spans="1:73">
      <c r="A21" s="540" t="s">
        <v>323</v>
      </c>
    </row>
    <row r="22" spans="1:73" ht="45">
      <c r="A22" s="552" t="s">
        <v>427</v>
      </c>
      <c r="B22" s="117"/>
      <c r="C22" s="117"/>
      <c r="D22" s="117"/>
      <c r="E22" s="117"/>
    </row>
  </sheetData>
  <pageMargins left="0.70866141732283472" right="0.70866141732283472" top="0.74803149606299213" bottom="0.74803149606299213" header="0.31496062992125984" footer="0.31496062992125984"/>
  <pageSetup paperSize="8" scale="33" orientation="landscape" r:id="rId1"/>
  <ignoredErrors>
    <ignoredError sqref="Y7 AD7 N7 AV7 BC7 BI7 BM7" formula="1"/>
    <ignoredError sqref="D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18CD4-3058-4BA8-A91B-F341E8CCB81E}">
  <dimension ref="A1:CY22"/>
  <sheetViews>
    <sheetView showGridLines="0" zoomScale="154" zoomScaleNormal="154" workbookViewId="0">
      <pane xSplit="1" ySplit="1" topLeftCell="CR2" activePane="bottomRight" state="frozen"/>
      <selection pane="topRight" activeCell="B1" sqref="B1"/>
      <selection pane="bottomLeft" activeCell="A2" sqref="A2"/>
      <selection pane="bottomRight" activeCell="CV25" sqref="CV25"/>
    </sheetView>
  </sheetViews>
  <sheetFormatPr defaultColWidth="9.42578125" defaultRowHeight="12.75"/>
  <cols>
    <col min="1" max="1" width="25.42578125" style="86" customWidth="1"/>
    <col min="2" max="34" width="6.5703125" style="86" customWidth="1"/>
    <col min="35" max="39" width="6.42578125" style="86" customWidth="1"/>
    <col min="40" max="43" width="6.5703125" style="86" customWidth="1"/>
    <col min="44" max="46" width="8" style="86" customWidth="1"/>
    <col min="47" max="50" width="9.42578125" style="86"/>
    <col min="51" max="53" width="8.140625" style="86" customWidth="1"/>
    <col min="54" max="57" width="9.42578125" style="86"/>
    <col min="58" max="58" width="8.140625" style="86" customWidth="1"/>
    <col min="59" max="86" width="9.42578125" style="86"/>
    <col min="87" max="103" width="9.42578125" style="371"/>
    <col min="104" max="16384" width="9.42578125" style="86"/>
  </cols>
  <sheetData>
    <row r="1" spans="1:103" ht="75.75" customHeight="1">
      <c r="A1" s="553" t="s">
        <v>431</v>
      </c>
      <c r="B1" s="545">
        <v>43101</v>
      </c>
      <c r="C1" s="545">
        <v>43132</v>
      </c>
      <c r="D1" s="545">
        <v>43160</v>
      </c>
      <c r="E1" s="545">
        <v>43191</v>
      </c>
      <c r="F1" s="545">
        <v>43221</v>
      </c>
      <c r="G1" s="545">
        <v>43252</v>
      </c>
      <c r="H1" s="545">
        <v>43282</v>
      </c>
      <c r="I1" s="545">
        <v>43313</v>
      </c>
      <c r="J1" s="545">
        <v>43344</v>
      </c>
      <c r="K1" s="545">
        <v>43374</v>
      </c>
      <c r="L1" s="545">
        <v>43405</v>
      </c>
      <c r="M1" s="545">
        <v>43435</v>
      </c>
      <c r="N1" s="545">
        <v>43466</v>
      </c>
      <c r="O1" s="545">
        <v>43497</v>
      </c>
      <c r="P1" s="545">
        <v>43525</v>
      </c>
      <c r="Q1" s="545">
        <v>43556</v>
      </c>
      <c r="R1" s="545">
        <v>43586</v>
      </c>
      <c r="S1" s="545">
        <v>43617</v>
      </c>
      <c r="T1" s="545">
        <v>43647</v>
      </c>
      <c r="U1" s="545">
        <v>43678</v>
      </c>
      <c r="V1" s="545">
        <v>43709</v>
      </c>
      <c r="W1" s="545">
        <v>43740</v>
      </c>
      <c r="X1" s="545" t="s">
        <v>343</v>
      </c>
      <c r="Y1" s="545" t="s">
        <v>344</v>
      </c>
      <c r="Z1" s="545" t="s">
        <v>345</v>
      </c>
      <c r="AA1" s="545">
        <v>43862</v>
      </c>
      <c r="AB1" s="545">
        <v>43891</v>
      </c>
      <c r="AC1" s="125" t="s">
        <v>346</v>
      </c>
      <c r="AD1" s="125" t="s">
        <v>347</v>
      </c>
      <c r="AE1" s="125" t="s">
        <v>348</v>
      </c>
      <c r="AF1" s="125" t="s">
        <v>349</v>
      </c>
      <c r="AG1" s="125" t="s">
        <v>350</v>
      </c>
      <c r="AH1" s="125" t="s">
        <v>351</v>
      </c>
      <c r="AI1" s="545" t="s">
        <v>352</v>
      </c>
      <c r="AJ1" s="545" t="s">
        <v>353</v>
      </c>
      <c r="AK1" s="545" t="s">
        <v>354</v>
      </c>
      <c r="AL1" s="545" t="s">
        <v>355</v>
      </c>
      <c r="AM1" s="545" t="s">
        <v>356</v>
      </c>
      <c r="AN1" s="545">
        <v>44256</v>
      </c>
      <c r="AO1" s="125" t="s">
        <v>357</v>
      </c>
      <c r="AP1" s="125" t="s">
        <v>358</v>
      </c>
      <c r="AQ1" s="125" t="s">
        <v>359</v>
      </c>
      <c r="AR1" s="125" t="s">
        <v>360</v>
      </c>
      <c r="AS1" s="125" t="s">
        <v>361</v>
      </c>
      <c r="AT1" s="125" t="s">
        <v>362</v>
      </c>
      <c r="AU1" s="125" t="s">
        <v>363</v>
      </c>
      <c r="AV1" s="125" t="s">
        <v>364</v>
      </c>
      <c r="AW1" s="125" t="s">
        <v>365</v>
      </c>
      <c r="AX1" s="125" t="s">
        <v>366</v>
      </c>
      <c r="AY1" s="125" t="s">
        <v>367</v>
      </c>
      <c r="AZ1" s="545">
        <v>44621</v>
      </c>
      <c r="BA1" s="125" t="s">
        <v>368</v>
      </c>
      <c r="BB1" s="125" t="s">
        <v>369</v>
      </c>
      <c r="BC1" s="125" t="s">
        <v>370</v>
      </c>
      <c r="BD1" s="125" t="s">
        <v>371</v>
      </c>
      <c r="BE1" s="125" t="s">
        <v>372</v>
      </c>
      <c r="BF1" s="125" t="s">
        <v>373</v>
      </c>
      <c r="BG1" s="125" t="s">
        <v>374</v>
      </c>
      <c r="BH1" s="125" t="s">
        <v>375</v>
      </c>
      <c r="BI1" s="125" t="s">
        <v>376</v>
      </c>
      <c r="BJ1" s="125" t="s">
        <v>377</v>
      </c>
      <c r="BK1" s="125" t="s">
        <v>378</v>
      </c>
      <c r="BL1" s="545">
        <v>44986</v>
      </c>
      <c r="BM1" s="545" t="s">
        <v>379</v>
      </c>
      <c r="BN1" s="125" t="s">
        <v>380</v>
      </c>
      <c r="BO1" s="125" t="s">
        <v>381</v>
      </c>
      <c r="BP1" s="125" t="s">
        <v>382</v>
      </c>
      <c r="BQ1" s="125" t="s">
        <v>383</v>
      </c>
      <c r="BR1" s="125" t="s">
        <v>384</v>
      </c>
      <c r="BS1" s="125" t="s">
        <v>385</v>
      </c>
      <c r="BT1" s="125" t="s">
        <v>386</v>
      </c>
      <c r="BU1" s="125" t="s">
        <v>387</v>
      </c>
      <c r="BV1" s="125" t="s">
        <v>388</v>
      </c>
      <c r="BW1" s="125" t="s">
        <v>389</v>
      </c>
      <c r="BX1" s="546" t="s">
        <v>390</v>
      </c>
      <c r="BY1" s="545" t="s">
        <v>391</v>
      </c>
      <c r="BZ1" s="125" t="s">
        <v>392</v>
      </c>
      <c r="CA1" s="125" t="s">
        <v>393</v>
      </c>
      <c r="CB1" s="125" t="s">
        <v>394</v>
      </c>
      <c r="CC1" s="125" t="s">
        <v>395</v>
      </c>
      <c r="CD1" s="125" t="s">
        <v>396</v>
      </c>
      <c r="CE1" s="125" t="s">
        <v>397</v>
      </c>
      <c r="CF1" s="125" t="s">
        <v>398</v>
      </c>
      <c r="CG1" s="125" t="s">
        <v>399</v>
      </c>
      <c r="CH1" s="125" t="s">
        <v>400</v>
      </c>
      <c r="CI1" s="125" t="s">
        <v>401</v>
      </c>
      <c r="CJ1" s="547" t="s">
        <v>402</v>
      </c>
      <c r="CK1" s="547" t="s">
        <v>403</v>
      </c>
      <c r="CL1" s="547" t="s">
        <v>404</v>
      </c>
      <c r="CM1" s="547" t="s">
        <v>405</v>
      </c>
      <c r="CN1" s="547" t="s">
        <v>406</v>
      </c>
      <c r="CO1" s="547" t="s">
        <v>407</v>
      </c>
      <c r="CP1" s="547" t="s">
        <v>408</v>
      </c>
      <c r="CQ1" s="125" t="s">
        <v>409</v>
      </c>
      <c r="CR1" s="125" t="s">
        <v>410</v>
      </c>
      <c r="CS1" s="125" t="s">
        <v>411</v>
      </c>
      <c r="CT1" s="125" t="s">
        <v>412</v>
      </c>
      <c r="CU1" s="125" t="s">
        <v>413</v>
      </c>
      <c r="CV1" s="547" t="s">
        <v>414</v>
      </c>
      <c r="CW1" s="547" t="s">
        <v>415</v>
      </c>
      <c r="CX1" s="547" t="s">
        <v>416</v>
      </c>
      <c r="CY1" s="547" t="s">
        <v>417</v>
      </c>
    </row>
    <row r="2" spans="1:103" s="82" customFormat="1" ht="16.5" customHeight="1">
      <c r="A2" s="538" t="s">
        <v>337</v>
      </c>
      <c r="B2" s="83"/>
      <c r="C2" s="83"/>
      <c r="D2" s="83"/>
      <c r="E2" s="118"/>
      <c r="F2" s="118"/>
      <c r="G2" s="118"/>
      <c r="H2" s="118"/>
      <c r="I2" s="118"/>
      <c r="J2" s="118"/>
      <c r="K2" s="118"/>
      <c r="L2" s="118"/>
      <c r="M2" s="118"/>
      <c r="N2" s="118"/>
      <c r="O2" s="118"/>
      <c r="P2" s="118"/>
      <c r="Q2" s="118"/>
      <c r="R2" s="118"/>
      <c r="S2" s="118"/>
      <c r="T2" s="118"/>
      <c r="U2" s="118"/>
      <c r="V2" s="118"/>
      <c r="CI2" s="371"/>
      <c r="CJ2" s="371"/>
      <c r="CK2" s="371"/>
      <c r="CL2" s="371"/>
      <c r="CM2" s="371"/>
      <c r="CN2" s="371"/>
      <c r="CO2" s="371"/>
      <c r="CP2" s="371"/>
      <c r="CQ2" s="371"/>
      <c r="CR2" s="371"/>
      <c r="CS2" s="371"/>
      <c r="CT2" s="371"/>
      <c r="CU2" s="371"/>
      <c r="CV2" s="371"/>
      <c r="CW2" s="371"/>
      <c r="CX2" s="371"/>
      <c r="CY2" s="371"/>
    </row>
    <row r="3" spans="1:103">
      <c r="A3" s="543" t="s">
        <v>432</v>
      </c>
      <c r="B3" s="87">
        <v>36.5</v>
      </c>
      <c r="C3" s="87">
        <v>43.5</v>
      </c>
      <c r="D3" s="87">
        <v>52.4</v>
      </c>
      <c r="E3" s="89">
        <v>48</v>
      </c>
      <c r="F3" s="87">
        <v>53.5</v>
      </c>
      <c r="G3" s="87">
        <v>60.4</v>
      </c>
      <c r="H3" s="87">
        <v>54.4</v>
      </c>
      <c r="I3" s="87">
        <v>54.6</v>
      </c>
      <c r="J3" s="87">
        <v>60.5</v>
      </c>
      <c r="K3" s="87">
        <v>61.9</v>
      </c>
      <c r="L3" s="87">
        <v>55.6</v>
      </c>
      <c r="M3" s="87">
        <v>67.2</v>
      </c>
      <c r="N3" s="87">
        <v>42.2</v>
      </c>
      <c r="O3" s="87">
        <v>60.9</v>
      </c>
      <c r="P3" s="87">
        <v>63.9</v>
      </c>
      <c r="Q3" s="88">
        <v>51.7</v>
      </c>
      <c r="R3" s="88">
        <v>63.6</v>
      </c>
      <c r="S3" s="68">
        <v>64</v>
      </c>
      <c r="T3" s="88">
        <v>47.6</v>
      </c>
      <c r="U3" s="88">
        <v>51.9</v>
      </c>
      <c r="V3" s="88">
        <v>67.400000000000006</v>
      </c>
      <c r="W3" s="88">
        <v>50.7</v>
      </c>
      <c r="X3" s="88">
        <v>65.7</v>
      </c>
      <c r="Y3" s="88">
        <v>61.9</v>
      </c>
      <c r="Z3" s="88">
        <v>46.8</v>
      </c>
      <c r="AA3" s="88">
        <v>60.9</v>
      </c>
      <c r="AB3" s="88">
        <v>57.4</v>
      </c>
      <c r="AC3" s="88">
        <v>55.7</v>
      </c>
      <c r="AD3" s="88">
        <v>61.8</v>
      </c>
      <c r="AE3" s="88">
        <v>67.400000000000006</v>
      </c>
      <c r="AF3" s="88">
        <v>54.5</v>
      </c>
      <c r="AG3" s="68">
        <v>58</v>
      </c>
      <c r="AH3" s="88">
        <v>53.3</v>
      </c>
      <c r="AI3" s="87">
        <v>57.1</v>
      </c>
      <c r="AJ3" s="87">
        <v>66.599999999999994</v>
      </c>
      <c r="AK3" s="87">
        <v>75.8</v>
      </c>
      <c r="AL3" s="87">
        <v>46.2</v>
      </c>
      <c r="AM3" s="87">
        <v>62.9</v>
      </c>
      <c r="AN3" s="87">
        <v>66.599999999999994</v>
      </c>
      <c r="AO3" s="87">
        <v>61.2</v>
      </c>
      <c r="AP3" s="87">
        <v>62.3</v>
      </c>
      <c r="AQ3" s="87">
        <v>65.7</v>
      </c>
      <c r="AR3" s="87">
        <v>57.7</v>
      </c>
      <c r="AS3" s="87">
        <v>56.1</v>
      </c>
      <c r="AT3" s="87">
        <v>66.2</v>
      </c>
      <c r="AU3" s="89">
        <v>58.1</v>
      </c>
      <c r="AV3" s="87">
        <v>68.7</v>
      </c>
      <c r="AW3" s="87">
        <v>58.4</v>
      </c>
      <c r="AX3" s="89">
        <v>59</v>
      </c>
      <c r="AY3" s="87">
        <v>55.9</v>
      </c>
      <c r="AZ3" s="87">
        <v>66.099999999999994</v>
      </c>
      <c r="BA3" s="89">
        <v>61.9</v>
      </c>
      <c r="BB3" s="87">
        <v>58.2</v>
      </c>
      <c r="BC3" s="87">
        <v>63.8</v>
      </c>
      <c r="BD3" s="87">
        <v>51.5</v>
      </c>
      <c r="BE3" s="87">
        <v>58.9</v>
      </c>
      <c r="BF3" s="87">
        <v>61.5</v>
      </c>
      <c r="BG3" s="87">
        <v>59.8</v>
      </c>
      <c r="BH3" s="87">
        <v>61.2</v>
      </c>
      <c r="BI3" s="87">
        <v>52.8</v>
      </c>
      <c r="BJ3" s="87">
        <v>58.2</v>
      </c>
      <c r="BK3" s="87">
        <v>62.1</v>
      </c>
      <c r="BL3" s="87">
        <v>66.099999999999994</v>
      </c>
      <c r="BM3" s="89">
        <v>57</v>
      </c>
      <c r="BN3" s="87">
        <v>55.6</v>
      </c>
      <c r="BO3" s="87">
        <v>64.7</v>
      </c>
      <c r="BP3" s="87">
        <v>51.2</v>
      </c>
      <c r="BQ3" s="87">
        <v>55.1</v>
      </c>
      <c r="BR3" s="87">
        <v>60.9</v>
      </c>
      <c r="BS3" s="87">
        <v>59.6</v>
      </c>
      <c r="BT3" s="87">
        <v>64.8</v>
      </c>
      <c r="BU3" s="87">
        <v>53.1</v>
      </c>
      <c r="BV3" s="89">
        <v>57</v>
      </c>
      <c r="BW3" s="87">
        <v>63.6</v>
      </c>
      <c r="BX3" s="87">
        <v>62.9</v>
      </c>
      <c r="BY3" s="87">
        <v>55.5</v>
      </c>
      <c r="BZ3" s="87">
        <v>61.9</v>
      </c>
      <c r="CA3" s="89">
        <v>59</v>
      </c>
      <c r="CB3" s="89">
        <v>59.6</v>
      </c>
      <c r="CC3" s="89">
        <v>59.4</v>
      </c>
      <c r="CD3" s="89">
        <v>65.599999999999994</v>
      </c>
      <c r="CE3" s="89">
        <v>63.7</v>
      </c>
      <c r="CF3" s="89">
        <v>60.9</v>
      </c>
      <c r="CG3" s="89">
        <v>61.2</v>
      </c>
      <c r="CH3" s="89">
        <v>52</v>
      </c>
      <c r="CI3" s="89">
        <v>60.9</v>
      </c>
      <c r="CJ3" s="89">
        <v>65.099999999999994</v>
      </c>
      <c r="CK3" s="89">
        <v>54.1</v>
      </c>
      <c r="CL3" s="89">
        <v>61.1</v>
      </c>
      <c r="CM3" s="89">
        <v>63</v>
      </c>
      <c r="CN3" s="89">
        <v>56.7</v>
      </c>
      <c r="CO3" s="89">
        <v>55</v>
      </c>
      <c r="CP3" s="89">
        <v>60.3</v>
      </c>
      <c r="CQ3" s="89">
        <v>58.4</v>
      </c>
      <c r="CR3" s="89">
        <v>62.1</v>
      </c>
      <c r="CS3" s="89">
        <v>62.7</v>
      </c>
      <c r="CT3" s="89">
        <v>50.7</v>
      </c>
      <c r="CU3" s="89">
        <v>50</v>
      </c>
      <c r="CV3" s="89">
        <v>70.2</v>
      </c>
      <c r="CW3" s="89">
        <v>56.1</v>
      </c>
      <c r="CX3" s="89">
        <v>62.1</v>
      </c>
      <c r="CY3" s="89">
        <v>63.6</v>
      </c>
    </row>
    <row r="4" spans="1:103">
      <c r="A4" s="543" t="s">
        <v>177</v>
      </c>
      <c r="B4" s="87">
        <v>64.3</v>
      </c>
      <c r="C4" s="87">
        <v>85.7</v>
      </c>
      <c r="D4" s="87">
        <v>63.2</v>
      </c>
      <c r="E4" s="87">
        <v>98.1</v>
      </c>
      <c r="F4" s="87">
        <v>101.5</v>
      </c>
      <c r="G4" s="87">
        <v>111.9</v>
      </c>
      <c r="H4" s="87">
        <v>115.4</v>
      </c>
      <c r="I4" s="87">
        <v>137.1</v>
      </c>
      <c r="J4" s="87">
        <v>135.9</v>
      </c>
      <c r="K4" s="87">
        <v>151.19999999999999</v>
      </c>
      <c r="L4" s="87">
        <v>111.4</v>
      </c>
      <c r="M4" s="87">
        <v>101.7</v>
      </c>
      <c r="N4" s="89">
        <v>84</v>
      </c>
      <c r="O4" s="87">
        <v>123.1</v>
      </c>
      <c r="P4" s="89">
        <v>122</v>
      </c>
      <c r="Q4" s="88">
        <v>100.2</v>
      </c>
      <c r="R4" s="88">
        <v>143.4</v>
      </c>
      <c r="S4" s="88">
        <v>140.4</v>
      </c>
      <c r="T4" s="88">
        <v>84.1</v>
      </c>
      <c r="U4" s="88">
        <v>103.1</v>
      </c>
      <c r="V4" s="68">
        <v>142</v>
      </c>
      <c r="W4" s="88">
        <v>124.8</v>
      </c>
      <c r="X4" s="88">
        <v>122.3</v>
      </c>
      <c r="Y4" s="68">
        <v>122.7</v>
      </c>
      <c r="Z4" s="88">
        <v>84.1</v>
      </c>
      <c r="AA4" s="88">
        <v>104.3</v>
      </c>
      <c r="AB4" s="88">
        <v>163.30000000000001</v>
      </c>
      <c r="AC4" s="88">
        <v>125.8</v>
      </c>
      <c r="AD4" s="88">
        <v>123.8</v>
      </c>
      <c r="AE4" s="88">
        <v>123.9</v>
      </c>
      <c r="AF4" s="88">
        <v>105.2</v>
      </c>
      <c r="AG4" s="88">
        <v>65.2</v>
      </c>
      <c r="AH4" s="88">
        <v>119.3</v>
      </c>
      <c r="AI4" s="87">
        <v>123.5</v>
      </c>
      <c r="AJ4" s="87">
        <v>105.3</v>
      </c>
      <c r="AK4" s="87">
        <v>161.1</v>
      </c>
      <c r="AL4" s="87">
        <v>82.2</v>
      </c>
      <c r="AM4" s="87">
        <v>82.5</v>
      </c>
      <c r="AN4" s="87">
        <v>121.8</v>
      </c>
      <c r="AO4" s="87">
        <v>104.2</v>
      </c>
      <c r="AP4" s="87">
        <v>122.3</v>
      </c>
      <c r="AQ4" s="87">
        <v>121.5</v>
      </c>
      <c r="AR4" s="87">
        <v>121.7</v>
      </c>
      <c r="AS4" s="87">
        <v>105.6</v>
      </c>
      <c r="AT4" s="87">
        <v>113.1</v>
      </c>
      <c r="AU4" s="87">
        <v>106.2</v>
      </c>
      <c r="AV4" s="87">
        <v>114.5</v>
      </c>
      <c r="AW4" s="87">
        <v>86.7</v>
      </c>
      <c r="AX4" s="87">
        <v>133.80000000000001</v>
      </c>
      <c r="AY4" s="89">
        <v>119</v>
      </c>
      <c r="AZ4" s="89">
        <v>136.6</v>
      </c>
      <c r="BA4" s="89">
        <v>96.7</v>
      </c>
      <c r="BB4" s="89">
        <v>107.6</v>
      </c>
      <c r="BC4" s="89">
        <v>138.1</v>
      </c>
      <c r="BD4" s="89">
        <v>117.3</v>
      </c>
      <c r="BE4" s="89">
        <v>99.2</v>
      </c>
      <c r="BF4" s="89">
        <v>116.6</v>
      </c>
      <c r="BG4" s="89">
        <v>99.5</v>
      </c>
      <c r="BH4" s="89">
        <v>96.7</v>
      </c>
      <c r="BI4" s="89">
        <v>114.7</v>
      </c>
      <c r="BJ4" s="89">
        <v>84.9</v>
      </c>
      <c r="BK4" s="89">
        <v>150.80000000000001</v>
      </c>
      <c r="BL4" s="89">
        <v>144.5</v>
      </c>
      <c r="BM4" s="89">
        <v>105.9</v>
      </c>
      <c r="BN4" s="89">
        <v>108.8</v>
      </c>
      <c r="BO4" s="89">
        <v>105.1</v>
      </c>
      <c r="BP4" s="89">
        <v>131.6</v>
      </c>
      <c r="BQ4" s="89">
        <v>129.6</v>
      </c>
      <c r="BR4" s="89">
        <v>104</v>
      </c>
      <c r="BS4" s="89">
        <v>121.4</v>
      </c>
      <c r="BT4" s="89">
        <v>99.4</v>
      </c>
      <c r="BU4" s="89">
        <v>99.1</v>
      </c>
      <c r="BV4" s="89">
        <v>66.900000000000006</v>
      </c>
      <c r="BW4" s="89">
        <v>160.6</v>
      </c>
      <c r="BX4" s="89">
        <v>114.7</v>
      </c>
      <c r="BY4" s="89">
        <v>112.2</v>
      </c>
      <c r="BZ4" s="89">
        <v>90.6</v>
      </c>
      <c r="CA4" s="89">
        <v>147.6</v>
      </c>
      <c r="CB4" s="89">
        <v>127.1</v>
      </c>
      <c r="CC4" s="89">
        <v>85.1</v>
      </c>
      <c r="CD4" s="89">
        <v>115.5</v>
      </c>
      <c r="CE4" s="89">
        <v>138.80000000000001</v>
      </c>
      <c r="CF4" s="89">
        <v>100.8</v>
      </c>
      <c r="CG4" s="89">
        <v>114.6</v>
      </c>
      <c r="CH4" s="89">
        <v>140.4</v>
      </c>
      <c r="CI4" s="89">
        <v>92.6</v>
      </c>
      <c r="CJ4" s="89">
        <v>106.2</v>
      </c>
      <c r="CK4" s="89">
        <v>126.9</v>
      </c>
      <c r="CL4" s="89">
        <v>112</v>
      </c>
      <c r="CM4" s="89">
        <v>119.1</v>
      </c>
      <c r="CN4" s="89">
        <v>98.7</v>
      </c>
      <c r="CO4" s="89">
        <v>107.7</v>
      </c>
      <c r="CP4" s="89">
        <v>104.9</v>
      </c>
      <c r="CQ4" s="89">
        <v>110.1</v>
      </c>
      <c r="CR4" s="89">
        <v>140.19999999999999</v>
      </c>
      <c r="CS4" s="89">
        <v>106.4</v>
      </c>
      <c r="CT4" s="89">
        <v>108.5</v>
      </c>
      <c r="CU4" s="89">
        <v>150.5</v>
      </c>
      <c r="CV4" s="89">
        <v>87.6</v>
      </c>
      <c r="CW4" s="89">
        <v>78.7</v>
      </c>
      <c r="CX4" s="89">
        <v>164</v>
      </c>
      <c r="CY4" s="89">
        <v>140.69999999999999</v>
      </c>
    </row>
    <row r="5" spans="1:103">
      <c r="A5" s="543" t="s">
        <v>178</v>
      </c>
      <c r="B5" s="87">
        <v>18.5</v>
      </c>
      <c r="C5" s="87">
        <v>8.1999999999999993</v>
      </c>
      <c r="D5" s="87">
        <v>12.4</v>
      </c>
      <c r="E5" s="87">
        <v>9.1999999999999993</v>
      </c>
      <c r="F5" s="87">
        <v>15.8</v>
      </c>
      <c r="G5" s="87">
        <v>11.1</v>
      </c>
      <c r="H5" s="87">
        <v>10.8</v>
      </c>
      <c r="I5" s="87">
        <v>15.8</v>
      </c>
      <c r="J5" s="87">
        <v>18</v>
      </c>
      <c r="K5" s="87">
        <v>11.4</v>
      </c>
      <c r="L5" s="87">
        <v>19.7</v>
      </c>
      <c r="M5" s="89">
        <v>17</v>
      </c>
      <c r="N5" s="87">
        <v>8.9</v>
      </c>
      <c r="O5" s="87">
        <v>18.600000000000001</v>
      </c>
      <c r="P5" s="87">
        <v>17.3</v>
      </c>
      <c r="Q5" s="88">
        <v>15.3</v>
      </c>
      <c r="R5" s="88">
        <v>18.8</v>
      </c>
      <c r="S5" s="88">
        <v>22.2</v>
      </c>
      <c r="T5" s="68">
        <v>8.1</v>
      </c>
      <c r="U5" s="88">
        <v>10.7</v>
      </c>
      <c r="V5" s="88">
        <v>26.3</v>
      </c>
      <c r="W5" s="68">
        <v>7.9</v>
      </c>
      <c r="X5" s="88">
        <v>31.3</v>
      </c>
      <c r="Y5" s="88">
        <v>25.8</v>
      </c>
      <c r="Z5" s="68">
        <v>8.6999999999999993</v>
      </c>
      <c r="AA5" s="88">
        <v>24.9</v>
      </c>
      <c r="AB5" s="88">
        <v>25.3</v>
      </c>
      <c r="AC5" s="88">
        <v>16.399999999999999</v>
      </c>
      <c r="AD5" s="88">
        <v>11.1</v>
      </c>
      <c r="AE5" s="68">
        <v>21</v>
      </c>
      <c r="AF5" s="88">
        <v>8.3000000000000007</v>
      </c>
      <c r="AG5" s="88">
        <v>23.8</v>
      </c>
      <c r="AH5" s="88">
        <v>9.3000000000000007</v>
      </c>
      <c r="AI5" s="89">
        <v>19</v>
      </c>
      <c r="AJ5" s="89">
        <v>17.7</v>
      </c>
      <c r="AK5" s="89">
        <v>17.899999999999999</v>
      </c>
      <c r="AL5" s="89">
        <v>12.3</v>
      </c>
      <c r="AM5" s="89">
        <v>6.9</v>
      </c>
      <c r="AN5" s="89">
        <v>18.100000000000001</v>
      </c>
      <c r="AO5" s="89">
        <v>14.5</v>
      </c>
      <c r="AP5" s="89">
        <v>12.1</v>
      </c>
      <c r="AQ5" s="89">
        <v>10.9</v>
      </c>
      <c r="AR5" s="89">
        <v>9.1999999999999993</v>
      </c>
      <c r="AS5" s="89">
        <v>20.100000000000001</v>
      </c>
      <c r="AT5" s="89">
        <v>13.5</v>
      </c>
      <c r="AU5" s="89">
        <v>8.3000000000000007</v>
      </c>
      <c r="AV5" s="89">
        <v>19</v>
      </c>
      <c r="AW5" s="89">
        <v>10.7</v>
      </c>
      <c r="AX5" s="89">
        <v>11.9</v>
      </c>
      <c r="AY5" s="89">
        <v>12.5</v>
      </c>
      <c r="AZ5" s="89">
        <v>17.5</v>
      </c>
      <c r="BA5" s="89">
        <v>14.1</v>
      </c>
      <c r="BB5" s="89">
        <v>15.4</v>
      </c>
      <c r="BC5" s="89">
        <v>12.2</v>
      </c>
      <c r="BD5" s="89">
        <v>8.4</v>
      </c>
      <c r="BE5" s="89">
        <v>17.5</v>
      </c>
      <c r="BF5" s="89">
        <v>17.2</v>
      </c>
      <c r="BG5" s="89">
        <v>20.8</v>
      </c>
      <c r="BH5" s="89">
        <v>11.9</v>
      </c>
      <c r="BI5" s="89">
        <v>9.8000000000000007</v>
      </c>
      <c r="BJ5" s="89">
        <v>22.5</v>
      </c>
      <c r="BK5" s="89">
        <v>20.3</v>
      </c>
      <c r="BL5" s="89">
        <v>16.8</v>
      </c>
      <c r="BM5" s="89">
        <v>11.3</v>
      </c>
      <c r="BN5" s="89">
        <v>10.7</v>
      </c>
      <c r="BO5" s="89">
        <v>23.2</v>
      </c>
      <c r="BP5" s="89">
        <v>11.6</v>
      </c>
      <c r="BQ5" s="89">
        <v>14</v>
      </c>
      <c r="BR5" s="89">
        <v>17.7</v>
      </c>
      <c r="BS5" s="89">
        <v>8.9</v>
      </c>
      <c r="BT5" s="89">
        <v>19.5</v>
      </c>
      <c r="BU5" s="89">
        <v>13.7</v>
      </c>
      <c r="BV5" s="89">
        <v>15.1</v>
      </c>
      <c r="BW5" s="89">
        <v>10.7</v>
      </c>
      <c r="BX5" s="89">
        <v>14.7</v>
      </c>
      <c r="BY5" s="89">
        <v>15.2</v>
      </c>
      <c r="BZ5" s="89">
        <v>13.8</v>
      </c>
      <c r="CA5" s="89">
        <v>17.2</v>
      </c>
      <c r="CB5" s="89">
        <v>10.199999999999999</v>
      </c>
      <c r="CC5" s="89">
        <v>18.899999999999999</v>
      </c>
      <c r="CD5" s="89">
        <v>13.3</v>
      </c>
      <c r="CE5" s="89">
        <v>13.4</v>
      </c>
      <c r="CF5" s="89">
        <v>16.2</v>
      </c>
      <c r="CG5" s="89">
        <v>18.600000000000001</v>
      </c>
      <c r="CH5" s="89">
        <v>15.3</v>
      </c>
      <c r="CI5" s="89">
        <v>9.8000000000000007</v>
      </c>
      <c r="CJ5" s="89">
        <v>20.5</v>
      </c>
      <c r="CK5" s="89">
        <v>12.3</v>
      </c>
      <c r="CL5" s="89">
        <v>12.6</v>
      </c>
      <c r="CM5" s="89">
        <v>16</v>
      </c>
      <c r="CN5" s="89">
        <v>7.2</v>
      </c>
      <c r="CO5" s="89">
        <v>18.5</v>
      </c>
      <c r="CP5" s="89">
        <v>10.4</v>
      </c>
      <c r="CQ5" s="89">
        <v>18.399999999999999</v>
      </c>
      <c r="CR5" s="89">
        <v>7.7</v>
      </c>
      <c r="CS5" s="89">
        <v>15.9</v>
      </c>
      <c r="CT5" s="89">
        <v>12.6</v>
      </c>
      <c r="CU5" s="89">
        <v>5.2</v>
      </c>
      <c r="CV5" s="89">
        <v>15.1</v>
      </c>
      <c r="CW5" s="89">
        <v>15.6</v>
      </c>
      <c r="CX5" s="89">
        <v>9.3000000000000007</v>
      </c>
      <c r="CY5" s="89">
        <v>21.8</v>
      </c>
    </row>
    <row r="6" spans="1:103">
      <c r="A6" s="543" t="s">
        <v>320</v>
      </c>
      <c r="B6" s="87">
        <v>1.3</v>
      </c>
      <c r="C6" s="87">
        <v>1.5</v>
      </c>
      <c r="D6" s="87">
        <v>1.4</v>
      </c>
      <c r="E6" s="87">
        <v>1.3</v>
      </c>
      <c r="F6" s="87">
        <v>1.6</v>
      </c>
      <c r="G6" s="87">
        <v>1.3</v>
      </c>
      <c r="H6" s="87">
        <v>1.4</v>
      </c>
      <c r="I6" s="87">
        <v>1.7</v>
      </c>
      <c r="J6" s="87">
        <v>1.6</v>
      </c>
      <c r="K6" s="87">
        <v>1.5</v>
      </c>
      <c r="L6" s="87">
        <v>1.3</v>
      </c>
      <c r="M6" s="87">
        <v>1.5</v>
      </c>
      <c r="N6" s="89">
        <v>1</v>
      </c>
      <c r="O6" s="87">
        <v>1.5</v>
      </c>
      <c r="P6" s="87">
        <v>1.1000000000000001</v>
      </c>
      <c r="Q6" s="88">
        <v>0.9</v>
      </c>
      <c r="R6" s="68">
        <v>0.9</v>
      </c>
      <c r="S6" s="88">
        <v>0.9</v>
      </c>
      <c r="T6" s="88">
        <v>0.9</v>
      </c>
      <c r="U6" s="88">
        <v>1.2</v>
      </c>
      <c r="V6" s="88">
        <v>1.2</v>
      </c>
      <c r="W6" s="88">
        <v>0.8</v>
      </c>
      <c r="X6" s="88">
        <v>1.4</v>
      </c>
      <c r="Y6" s="88">
        <v>0.8</v>
      </c>
      <c r="Z6" s="88">
        <v>0.9</v>
      </c>
      <c r="AA6" s="88">
        <v>1.5</v>
      </c>
      <c r="AB6" s="88">
        <v>0.4</v>
      </c>
      <c r="AC6" s="88">
        <v>0.9</v>
      </c>
      <c r="AD6" s="88">
        <v>0.6</v>
      </c>
      <c r="AE6" s="88">
        <v>0.6</v>
      </c>
      <c r="AF6" s="68">
        <v>1</v>
      </c>
      <c r="AG6" s="88">
        <v>0.6</v>
      </c>
      <c r="AH6" s="88">
        <v>0.7</v>
      </c>
      <c r="AI6" s="89">
        <v>0.8</v>
      </c>
      <c r="AJ6" s="89">
        <v>0.7</v>
      </c>
      <c r="AK6" s="89">
        <v>1.1000000000000001</v>
      </c>
      <c r="AL6" s="89">
        <v>0.6</v>
      </c>
      <c r="AM6" s="89">
        <v>0.7</v>
      </c>
      <c r="AN6" s="89">
        <v>1.1000000000000001</v>
      </c>
      <c r="AO6" s="89">
        <v>0.6</v>
      </c>
      <c r="AP6" s="89">
        <v>0.5</v>
      </c>
      <c r="AQ6" s="89">
        <v>0.7</v>
      </c>
      <c r="AR6" s="89">
        <v>0.1</v>
      </c>
      <c r="AS6" s="89">
        <v>0.8</v>
      </c>
      <c r="AT6" s="89">
        <v>0.7</v>
      </c>
      <c r="AU6" s="89">
        <v>0.8</v>
      </c>
      <c r="AV6" s="89">
        <v>0.6</v>
      </c>
      <c r="AW6" s="89">
        <v>0.7</v>
      </c>
      <c r="AX6" s="89">
        <v>0.5</v>
      </c>
      <c r="AY6" s="89">
        <v>0.1</v>
      </c>
      <c r="AZ6" s="89">
        <v>0.2</v>
      </c>
      <c r="BA6" s="89">
        <v>0.5</v>
      </c>
      <c r="BB6" s="89">
        <v>0.5</v>
      </c>
      <c r="BC6" s="89">
        <v>0.2</v>
      </c>
      <c r="BD6" s="89">
        <v>0.3</v>
      </c>
      <c r="BE6" s="89">
        <v>0.3</v>
      </c>
      <c r="BF6" s="89">
        <v>0.3</v>
      </c>
      <c r="BG6" s="89">
        <v>0.7</v>
      </c>
      <c r="BH6" s="89">
        <v>0.4</v>
      </c>
      <c r="BI6" s="89">
        <v>0.2</v>
      </c>
      <c r="BJ6" s="89">
        <v>0.1</v>
      </c>
      <c r="BK6" s="89">
        <v>0.3</v>
      </c>
      <c r="BL6" s="89">
        <v>0.3</v>
      </c>
      <c r="BM6" s="89">
        <v>0.1</v>
      </c>
      <c r="BN6" s="89">
        <v>0.2</v>
      </c>
      <c r="BO6" s="89">
        <v>0.4</v>
      </c>
      <c r="BP6" s="89">
        <v>0.3</v>
      </c>
      <c r="BQ6" s="89">
        <v>0.3</v>
      </c>
      <c r="BR6" s="89">
        <v>0.4</v>
      </c>
      <c r="BS6" s="89">
        <v>0.4</v>
      </c>
      <c r="BT6" s="89">
        <v>0.3</v>
      </c>
      <c r="BU6" s="89">
        <v>0.3</v>
      </c>
      <c r="BV6" s="89">
        <v>0.8</v>
      </c>
      <c r="BW6" s="89">
        <v>0.3</v>
      </c>
      <c r="BX6" s="89">
        <v>0.1</v>
      </c>
      <c r="BY6" s="89">
        <v>0.4</v>
      </c>
      <c r="BZ6" s="89">
        <v>0.2</v>
      </c>
      <c r="CA6" s="89">
        <v>0.2</v>
      </c>
      <c r="CB6" s="89">
        <v>0.1</v>
      </c>
      <c r="CC6" s="89">
        <v>0.2</v>
      </c>
      <c r="CD6" s="89">
        <v>0.3</v>
      </c>
      <c r="CE6" s="89">
        <v>0.5</v>
      </c>
      <c r="CF6" s="89">
        <v>0.2</v>
      </c>
      <c r="CG6" s="89">
        <v>0.7</v>
      </c>
      <c r="CH6" s="89">
        <v>0.3</v>
      </c>
      <c r="CI6" s="89">
        <v>0.4</v>
      </c>
      <c r="CJ6" s="89">
        <v>0.1</v>
      </c>
      <c r="CK6" s="89">
        <v>0.2</v>
      </c>
      <c r="CL6" s="89">
        <v>0.2</v>
      </c>
      <c r="CM6" s="89">
        <v>0.3</v>
      </c>
      <c r="CN6" s="89">
        <v>0.4</v>
      </c>
      <c r="CO6" s="89">
        <v>0.5</v>
      </c>
      <c r="CP6" s="89">
        <v>0.8</v>
      </c>
      <c r="CQ6" s="89">
        <v>0.9</v>
      </c>
      <c r="CR6" s="89">
        <v>0.4</v>
      </c>
      <c r="CS6" s="89">
        <v>0.5</v>
      </c>
      <c r="CT6" s="89">
        <v>0.2</v>
      </c>
      <c r="CU6" s="89">
        <v>0.3</v>
      </c>
      <c r="CV6" s="89">
        <v>0.4</v>
      </c>
      <c r="CW6" s="89">
        <v>0.4</v>
      </c>
      <c r="CX6" s="89">
        <v>0.5</v>
      </c>
      <c r="CY6" s="89">
        <v>0.4</v>
      </c>
    </row>
    <row r="7" spans="1:103" s="82" customFormat="1" ht="16.5" customHeight="1">
      <c r="A7" s="538" t="s">
        <v>22</v>
      </c>
      <c r="B7" s="119"/>
      <c r="C7" s="119"/>
      <c r="D7" s="119"/>
      <c r="E7" s="120"/>
      <c r="F7" s="120"/>
      <c r="G7" s="120"/>
      <c r="H7" s="120"/>
      <c r="I7" s="120"/>
      <c r="J7" s="120"/>
      <c r="K7" s="120"/>
      <c r="L7" s="120"/>
      <c r="M7" s="120"/>
      <c r="N7" s="120"/>
      <c r="O7" s="120"/>
      <c r="P7" s="120"/>
      <c r="Q7" s="92"/>
      <c r="R7" s="92"/>
      <c r="S7" s="92"/>
      <c r="T7" s="92"/>
      <c r="U7" s="92"/>
      <c r="V7" s="92"/>
      <c r="W7" s="92"/>
      <c r="X7" s="92"/>
      <c r="Y7" s="92"/>
      <c r="Z7" s="92"/>
      <c r="AA7" s="92"/>
      <c r="AB7" s="92"/>
      <c r="AC7" s="92"/>
      <c r="AD7" s="92"/>
      <c r="AE7" s="92"/>
      <c r="AF7" s="92"/>
      <c r="AG7" s="92"/>
      <c r="AH7" s="92"/>
      <c r="AI7" s="91"/>
      <c r="AJ7" s="91"/>
      <c r="AK7" s="91"/>
      <c r="AL7" s="91"/>
      <c r="AM7" s="91"/>
      <c r="AN7" s="91"/>
      <c r="AO7" s="91"/>
      <c r="AP7" s="91"/>
      <c r="AQ7" s="91"/>
      <c r="AR7" s="91"/>
      <c r="AS7" s="91"/>
      <c r="AT7" s="91"/>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row>
    <row r="8" spans="1:103">
      <c r="A8" s="543" t="s">
        <v>432</v>
      </c>
      <c r="B8" s="89">
        <v>28</v>
      </c>
      <c r="C8" s="87">
        <v>31.3</v>
      </c>
      <c r="D8" s="87">
        <v>43.2</v>
      </c>
      <c r="E8" s="87">
        <v>38.1</v>
      </c>
      <c r="F8" s="89">
        <v>40</v>
      </c>
      <c r="G8" s="89">
        <v>49</v>
      </c>
      <c r="H8" s="87">
        <v>43.8</v>
      </c>
      <c r="I8" s="87">
        <v>42.4</v>
      </c>
      <c r="J8" s="87">
        <v>50.9</v>
      </c>
      <c r="K8" s="89">
        <v>50</v>
      </c>
      <c r="L8" s="87">
        <v>44.3</v>
      </c>
      <c r="M8" s="87">
        <v>53.5</v>
      </c>
      <c r="N8" s="87">
        <v>31.3</v>
      </c>
      <c r="O8" s="87">
        <v>50.1</v>
      </c>
      <c r="P8" s="87">
        <v>53.5</v>
      </c>
      <c r="Q8" s="88">
        <v>42.4</v>
      </c>
      <c r="R8" s="88">
        <v>51.2</v>
      </c>
      <c r="S8" s="88">
        <v>51.2</v>
      </c>
      <c r="T8" s="88">
        <v>38.5</v>
      </c>
      <c r="U8" s="88">
        <v>41.4</v>
      </c>
      <c r="V8" s="88">
        <v>54.9</v>
      </c>
      <c r="W8" s="88">
        <v>42.6</v>
      </c>
      <c r="X8" s="88">
        <v>51.5</v>
      </c>
      <c r="Y8" s="88">
        <v>48.2</v>
      </c>
      <c r="Z8" s="88">
        <v>36.9</v>
      </c>
      <c r="AA8" s="88">
        <v>48.4</v>
      </c>
      <c r="AB8" s="88">
        <v>46.9</v>
      </c>
      <c r="AC8" s="88">
        <v>42.4</v>
      </c>
      <c r="AD8" s="88">
        <v>48.2</v>
      </c>
      <c r="AE8" s="88">
        <v>54.3</v>
      </c>
      <c r="AF8" s="88">
        <v>43.3</v>
      </c>
      <c r="AG8" s="88">
        <v>40.9</v>
      </c>
      <c r="AH8" s="88">
        <v>43.7</v>
      </c>
      <c r="AI8" s="87">
        <v>44.4</v>
      </c>
      <c r="AJ8" s="87">
        <v>51.8</v>
      </c>
      <c r="AK8" s="87">
        <v>59.9</v>
      </c>
      <c r="AL8" s="87">
        <v>35.200000000000003</v>
      </c>
      <c r="AM8" s="87">
        <v>51.7</v>
      </c>
      <c r="AN8" s="87">
        <v>49.7</v>
      </c>
      <c r="AO8" s="87">
        <v>47.3</v>
      </c>
      <c r="AP8" s="87">
        <v>50.1</v>
      </c>
      <c r="AQ8" s="89">
        <v>51</v>
      </c>
      <c r="AR8" s="89">
        <v>41.8</v>
      </c>
      <c r="AS8" s="89">
        <v>41.8</v>
      </c>
      <c r="AT8" s="89">
        <v>48.5</v>
      </c>
      <c r="AU8" s="89">
        <v>48.1</v>
      </c>
      <c r="AV8" s="87">
        <v>53.9</v>
      </c>
      <c r="AW8" s="87">
        <v>42.4</v>
      </c>
      <c r="AX8" s="87">
        <v>45.2</v>
      </c>
      <c r="AY8" s="87">
        <v>45.2</v>
      </c>
      <c r="AZ8" s="87">
        <v>52.8</v>
      </c>
      <c r="BA8" s="87">
        <v>49.7</v>
      </c>
      <c r="BB8" s="87">
        <v>46.3</v>
      </c>
      <c r="BC8" s="87">
        <v>53.4</v>
      </c>
      <c r="BD8" s="87">
        <v>42.6</v>
      </c>
      <c r="BE8" s="87">
        <v>44.2</v>
      </c>
      <c r="BF8" s="87">
        <v>50.3</v>
      </c>
      <c r="BG8" s="87">
        <v>45.4</v>
      </c>
      <c r="BH8" s="87">
        <v>50.1</v>
      </c>
      <c r="BI8" s="87">
        <v>39.6</v>
      </c>
      <c r="BJ8" s="87">
        <v>47.8</v>
      </c>
      <c r="BK8" s="87">
        <v>52.8</v>
      </c>
      <c r="BL8" s="87">
        <v>56.2</v>
      </c>
      <c r="BM8" s="87">
        <v>46.6</v>
      </c>
      <c r="BN8" s="87">
        <v>46.1</v>
      </c>
      <c r="BO8" s="87">
        <v>54.3</v>
      </c>
      <c r="BP8" s="87">
        <v>44.9</v>
      </c>
      <c r="BQ8" s="87">
        <v>43.7</v>
      </c>
      <c r="BR8" s="89">
        <v>52</v>
      </c>
      <c r="BS8" s="89">
        <v>48.6</v>
      </c>
      <c r="BT8" s="89">
        <v>54.3</v>
      </c>
      <c r="BU8" s="89">
        <v>37.299999999999997</v>
      </c>
      <c r="BV8" s="89">
        <v>50.4</v>
      </c>
      <c r="BW8" s="89">
        <v>55.4</v>
      </c>
      <c r="BX8" s="89">
        <v>52.9</v>
      </c>
      <c r="BY8" s="89">
        <v>46.9</v>
      </c>
      <c r="BZ8" s="89">
        <v>49.4</v>
      </c>
      <c r="CA8" s="89">
        <v>47.5</v>
      </c>
      <c r="CB8" s="89">
        <v>47.1</v>
      </c>
      <c r="CC8" s="89">
        <v>44</v>
      </c>
      <c r="CD8" s="89">
        <v>52.9</v>
      </c>
      <c r="CE8" s="89">
        <v>51.5</v>
      </c>
      <c r="CF8" s="89">
        <v>48.1</v>
      </c>
      <c r="CG8" s="89">
        <v>43.4</v>
      </c>
      <c r="CH8" s="89">
        <v>43.7</v>
      </c>
      <c r="CI8" s="89">
        <v>50.4</v>
      </c>
      <c r="CJ8" s="89">
        <v>49.2</v>
      </c>
      <c r="CK8" s="89">
        <v>45.8</v>
      </c>
      <c r="CL8" s="89">
        <v>48.4</v>
      </c>
      <c r="CM8" s="89">
        <v>48.3</v>
      </c>
      <c r="CN8" s="89">
        <v>49</v>
      </c>
      <c r="CO8" s="89">
        <v>42.8</v>
      </c>
      <c r="CP8" s="89">
        <v>47.5</v>
      </c>
      <c r="CQ8" s="89">
        <v>48.7</v>
      </c>
      <c r="CR8" s="89">
        <v>50.3</v>
      </c>
      <c r="CS8" s="89">
        <v>48.5</v>
      </c>
      <c r="CT8" s="89">
        <v>43.4</v>
      </c>
      <c r="CU8" s="89">
        <v>44.4</v>
      </c>
      <c r="CV8" s="89">
        <v>54.6</v>
      </c>
      <c r="CW8" s="89">
        <v>49.8</v>
      </c>
      <c r="CX8" s="89">
        <v>50.8</v>
      </c>
      <c r="CY8" s="89">
        <v>50.5</v>
      </c>
    </row>
    <row r="9" spans="1:103">
      <c r="A9" s="543" t="s">
        <v>177</v>
      </c>
      <c r="B9" s="87">
        <v>62.7</v>
      </c>
      <c r="C9" s="87">
        <v>83.1</v>
      </c>
      <c r="D9" s="87">
        <v>61.2</v>
      </c>
      <c r="E9" s="87">
        <v>97.2</v>
      </c>
      <c r="F9" s="87">
        <v>71.2</v>
      </c>
      <c r="G9" s="87">
        <v>110.3</v>
      </c>
      <c r="H9" s="87">
        <v>113.9</v>
      </c>
      <c r="I9" s="87">
        <v>135.19999999999999</v>
      </c>
      <c r="J9" s="87">
        <v>134.1</v>
      </c>
      <c r="K9" s="87">
        <v>149.80000000000001</v>
      </c>
      <c r="L9" s="87">
        <v>109.5</v>
      </c>
      <c r="M9" s="87">
        <v>99.1</v>
      </c>
      <c r="N9" s="87">
        <v>82.7</v>
      </c>
      <c r="O9" s="87">
        <v>121.6</v>
      </c>
      <c r="P9" s="89">
        <v>121</v>
      </c>
      <c r="Q9" s="88">
        <v>99.3</v>
      </c>
      <c r="R9" s="88">
        <v>142.19999999999999</v>
      </c>
      <c r="S9" s="68">
        <v>139</v>
      </c>
      <c r="T9" s="88">
        <v>82.3</v>
      </c>
      <c r="U9" s="88">
        <v>101.8</v>
      </c>
      <c r="V9" s="88">
        <v>139.19999999999999</v>
      </c>
      <c r="W9" s="88">
        <v>123.3</v>
      </c>
      <c r="X9" s="88">
        <v>120.5</v>
      </c>
      <c r="Y9" s="88">
        <v>119.9</v>
      </c>
      <c r="Z9" s="88">
        <v>82.4</v>
      </c>
      <c r="AA9" s="88">
        <v>101.8</v>
      </c>
      <c r="AB9" s="68">
        <v>161</v>
      </c>
      <c r="AC9" s="88">
        <v>122.7</v>
      </c>
      <c r="AD9" s="68">
        <v>120.8</v>
      </c>
      <c r="AE9" s="68">
        <v>120.5</v>
      </c>
      <c r="AF9" s="88">
        <v>102.7</v>
      </c>
      <c r="AG9" s="88">
        <v>60.8</v>
      </c>
      <c r="AH9" s="88">
        <v>117.2</v>
      </c>
      <c r="AI9" s="89">
        <v>120.4</v>
      </c>
      <c r="AJ9" s="89">
        <v>101.1</v>
      </c>
      <c r="AK9" s="89">
        <v>157.6</v>
      </c>
      <c r="AL9" s="89">
        <v>79.900000000000006</v>
      </c>
      <c r="AM9" s="89">
        <v>80.3</v>
      </c>
      <c r="AN9" s="89">
        <v>118.6</v>
      </c>
      <c r="AO9" s="89">
        <v>101.1</v>
      </c>
      <c r="AP9" s="89">
        <v>121.3</v>
      </c>
      <c r="AQ9" s="89">
        <v>118</v>
      </c>
      <c r="AR9" s="89">
        <v>118.4</v>
      </c>
      <c r="AS9" s="89">
        <v>103</v>
      </c>
      <c r="AT9" s="89">
        <v>109.9</v>
      </c>
      <c r="AU9" s="89">
        <v>104.4</v>
      </c>
      <c r="AV9" s="89">
        <v>111.8</v>
      </c>
      <c r="AW9" s="89">
        <v>82.2</v>
      </c>
      <c r="AX9" s="89">
        <v>130.4</v>
      </c>
      <c r="AY9" s="89">
        <v>116.4</v>
      </c>
      <c r="AZ9" s="89">
        <v>133.69999999999999</v>
      </c>
      <c r="BA9" s="89">
        <v>93.5</v>
      </c>
      <c r="BB9" s="89">
        <v>104.1</v>
      </c>
      <c r="BC9" s="89">
        <v>135.4</v>
      </c>
      <c r="BD9" s="89">
        <v>114.8</v>
      </c>
      <c r="BE9" s="89">
        <v>95.5</v>
      </c>
      <c r="BF9" s="89">
        <v>113.6</v>
      </c>
      <c r="BG9" s="89">
        <v>96.1</v>
      </c>
      <c r="BH9" s="89">
        <v>93.5</v>
      </c>
      <c r="BI9" s="89">
        <v>111.3</v>
      </c>
      <c r="BJ9" s="89">
        <v>82.1</v>
      </c>
      <c r="BK9" s="89">
        <v>148.4</v>
      </c>
      <c r="BL9" s="89">
        <v>141.6</v>
      </c>
      <c r="BM9" s="89">
        <v>103.1</v>
      </c>
      <c r="BN9" s="89">
        <v>106</v>
      </c>
      <c r="BO9" s="89">
        <v>102.1</v>
      </c>
      <c r="BP9" s="89">
        <v>129.69999999999999</v>
      </c>
      <c r="BQ9" s="89">
        <v>126.2</v>
      </c>
      <c r="BR9" s="89">
        <v>101.5</v>
      </c>
      <c r="BS9" s="89">
        <v>118.8</v>
      </c>
      <c r="BT9" s="89">
        <v>96.6</v>
      </c>
      <c r="BU9" s="89">
        <v>95.5</v>
      </c>
      <c r="BV9" s="89">
        <v>64.900000000000006</v>
      </c>
      <c r="BW9" s="89">
        <v>159.19999999999999</v>
      </c>
      <c r="BX9" s="89">
        <v>112.1</v>
      </c>
      <c r="BY9" s="89">
        <v>110.1</v>
      </c>
      <c r="BZ9" s="89">
        <v>87.7</v>
      </c>
      <c r="CA9" s="89">
        <v>145</v>
      </c>
      <c r="CB9" s="89">
        <v>125</v>
      </c>
      <c r="CC9" s="89">
        <v>82.7</v>
      </c>
      <c r="CD9" s="89">
        <v>113.2</v>
      </c>
      <c r="CE9" s="89">
        <v>136.9</v>
      </c>
      <c r="CF9" s="89">
        <v>99.1</v>
      </c>
      <c r="CG9" s="89">
        <v>111.2</v>
      </c>
      <c r="CH9" s="89">
        <v>138.9</v>
      </c>
      <c r="CI9" s="89">
        <v>91</v>
      </c>
      <c r="CJ9" s="89">
        <v>102.9</v>
      </c>
      <c r="CK9" s="89">
        <v>125.3</v>
      </c>
      <c r="CL9" s="89">
        <v>109.9</v>
      </c>
      <c r="CM9" s="89">
        <v>115.8</v>
      </c>
      <c r="CN9" s="89">
        <v>97.1</v>
      </c>
      <c r="CO9" s="89">
        <v>105.3</v>
      </c>
      <c r="CP9" s="89">
        <v>102.1</v>
      </c>
      <c r="CQ9" s="89">
        <v>107.7</v>
      </c>
      <c r="CR9" s="89">
        <v>137.30000000000001</v>
      </c>
      <c r="CS9" s="89">
        <v>102.4</v>
      </c>
      <c r="CT9" s="89">
        <v>106.2</v>
      </c>
      <c r="CU9" s="89">
        <v>148.80000000000001</v>
      </c>
      <c r="CV9" s="89">
        <v>82.9</v>
      </c>
      <c r="CW9" s="89">
        <v>77.099999999999994</v>
      </c>
      <c r="CX9" s="89">
        <v>160.6</v>
      </c>
      <c r="CY9" s="89">
        <v>136.5</v>
      </c>
    </row>
    <row r="10" spans="1:103">
      <c r="A10" s="543" t="s">
        <v>178</v>
      </c>
      <c r="B10" s="87">
        <v>11.9</v>
      </c>
      <c r="C10" s="87">
        <v>1.4</v>
      </c>
      <c r="D10" s="87">
        <v>6.9</v>
      </c>
      <c r="E10" s="87">
        <v>2.5</v>
      </c>
      <c r="F10" s="87">
        <v>13.7</v>
      </c>
      <c r="G10" s="87">
        <v>2.7</v>
      </c>
      <c r="H10" s="87">
        <v>4</v>
      </c>
      <c r="I10" s="87">
        <v>6.8</v>
      </c>
      <c r="J10" s="87">
        <v>11.9</v>
      </c>
      <c r="K10" s="87">
        <v>2.7</v>
      </c>
      <c r="L10" s="87">
        <v>11.4</v>
      </c>
      <c r="M10" s="87">
        <v>7.7</v>
      </c>
      <c r="N10" s="87">
        <v>1.2</v>
      </c>
      <c r="O10" s="89">
        <v>11</v>
      </c>
      <c r="P10" s="87">
        <v>8.1</v>
      </c>
      <c r="Q10" s="88">
        <v>7.5</v>
      </c>
      <c r="R10" s="68">
        <v>11</v>
      </c>
      <c r="S10" s="88">
        <v>11.9</v>
      </c>
      <c r="T10" s="88">
        <v>1.4</v>
      </c>
      <c r="U10" s="88">
        <v>0.3</v>
      </c>
      <c r="V10" s="88">
        <v>16.399999999999999</v>
      </c>
      <c r="W10" s="88">
        <v>0.3</v>
      </c>
      <c r="X10" s="88">
        <v>18.5</v>
      </c>
      <c r="Y10" s="88">
        <v>13.9</v>
      </c>
      <c r="Z10" s="88">
        <v>0.6</v>
      </c>
      <c r="AA10" s="68">
        <v>14</v>
      </c>
      <c r="AB10" s="88">
        <v>15.9</v>
      </c>
      <c r="AC10" s="68">
        <v>6.6</v>
      </c>
      <c r="AD10" s="88">
        <v>1.2</v>
      </c>
      <c r="AE10" s="68">
        <v>12</v>
      </c>
      <c r="AF10" s="68">
        <v>1.3</v>
      </c>
      <c r="AG10" s="68">
        <v>12.6</v>
      </c>
      <c r="AH10" s="68">
        <v>3.2</v>
      </c>
      <c r="AI10" s="89">
        <v>11.9</v>
      </c>
      <c r="AJ10" s="89">
        <v>11.1</v>
      </c>
      <c r="AK10" s="89">
        <v>9.8000000000000007</v>
      </c>
      <c r="AL10" s="89">
        <v>6.5</v>
      </c>
      <c r="AM10" s="89">
        <v>1.8</v>
      </c>
      <c r="AN10" s="89">
        <v>10.3</v>
      </c>
      <c r="AO10" s="89">
        <v>7.4</v>
      </c>
      <c r="AP10" s="89">
        <v>6.6</v>
      </c>
      <c r="AQ10" s="89">
        <v>5.4</v>
      </c>
      <c r="AR10" s="89">
        <v>3.4</v>
      </c>
      <c r="AS10" s="89">
        <v>12.6</v>
      </c>
      <c r="AT10" s="89">
        <v>4.4000000000000004</v>
      </c>
      <c r="AU10" s="89">
        <v>3.4</v>
      </c>
      <c r="AV10" s="89">
        <v>11.9</v>
      </c>
      <c r="AW10" s="89">
        <v>4.2</v>
      </c>
      <c r="AX10" s="89">
        <v>5.6</v>
      </c>
      <c r="AY10" s="89">
        <v>7.6</v>
      </c>
      <c r="AZ10" s="89">
        <v>11.1</v>
      </c>
      <c r="BA10" s="89">
        <v>5.6</v>
      </c>
      <c r="BB10" s="89">
        <v>6.6</v>
      </c>
      <c r="BC10" s="89">
        <v>5.3</v>
      </c>
      <c r="BD10" s="89">
        <v>3.6</v>
      </c>
      <c r="BE10" s="89">
        <v>8.5</v>
      </c>
      <c r="BF10" s="89">
        <v>10.1</v>
      </c>
      <c r="BG10" s="89">
        <v>11.2</v>
      </c>
      <c r="BH10" s="89">
        <v>3.4</v>
      </c>
      <c r="BI10" s="89">
        <v>1.9</v>
      </c>
      <c r="BJ10" s="89">
        <v>15.8</v>
      </c>
      <c r="BK10" s="89">
        <v>13.6</v>
      </c>
      <c r="BL10" s="89">
        <v>10.6</v>
      </c>
      <c r="BM10" s="89">
        <v>6.4</v>
      </c>
      <c r="BN10" s="89">
        <v>3.7</v>
      </c>
      <c r="BO10" s="89">
        <v>16.5</v>
      </c>
      <c r="BP10" s="89">
        <v>7.8</v>
      </c>
      <c r="BQ10" s="89">
        <v>8.5</v>
      </c>
      <c r="BR10" s="89">
        <v>12.5</v>
      </c>
      <c r="BS10" s="89">
        <v>2.9</v>
      </c>
      <c r="BT10" s="89">
        <v>13.2</v>
      </c>
      <c r="BU10" s="89">
        <v>3.1</v>
      </c>
      <c r="BV10" s="89">
        <v>11.3</v>
      </c>
      <c r="BW10" s="89">
        <v>5.0999999999999996</v>
      </c>
      <c r="BX10" s="89">
        <v>8.8000000000000007</v>
      </c>
      <c r="BY10" s="89">
        <v>10.1</v>
      </c>
      <c r="BZ10" s="89">
        <v>6.6</v>
      </c>
      <c r="CA10" s="89">
        <v>10.8</v>
      </c>
      <c r="CB10" s="89">
        <v>2.2999999999999998</v>
      </c>
      <c r="CC10" s="89">
        <v>9.5</v>
      </c>
      <c r="CD10" s="89">
        <v>6.2</v>
      </c>
      <c r="CE10" s="89">
        <v>6</v>
      </c>
      <c r="CF10" s="89">
        <v>7.8</v>
      </c>
      <c r="CG10" s="89">
        <v>6.6</v>
      </c>
      <c r="CH10" s="89">
        <v>11</v>
      </c>
      <c r="CI10" s="89">
        <v>3</v>
      </c>
      <c r="CJ10" s="89">
        <v>11.4</v>
      </c>
      <c r="CK10" s="89">
        <v>7.8</v>
      </c>
      <c r="CL10" s="89">
        <v>6.1</v>
      </c>
      <c r="CM10" s="89">
        <v>8.6</v>
      </c>
      <c r="CN10" s="89">
        <v>2.4</v>
      </c>
      <c r="CO10" s="89">
        <v>11.9</v>
      </c>
      <c r="CP10" s="89">
        <v>4.5999999999999996</v>
      </c>
      <c r="CQ10" s="89">
        <v>13.6</v>
      </c>
      <c r="CR10" s="89">
        <v>1.7</v>
      </c>
      <c r="CS10" s="89">
        <v>10.4</v>
      </c>
      <c r="CT10" s="89">
        <v>9.3000000000000007</v>
      </c>
      <c r="CU10" s="89">
        <v>3</v>
      </c>
      <c r="CV10" s="89">
        <v>7.3</v>
      </c>
      <c r="CW10" s="89">
        <v>12.3</v>
      </c>
      <c r="CX10" s="89">
        <v>5.0999999999999996</v>
      </c>
      <c r="CY10" s="89">
        <v>16.600000000000001</v>
      </c>
    </row>
    <row r="11" spans="1:103" s="82" customFormat="1" ht="16.5" customHeight="1">
      <c r="A11" s="538" t="s">
        <v>78</v>
      </c>
      <c r="B11" s="119"/>
      <c r="C11" s="119"/>
      <c r="D11" s="119"/>
      <c r="E11" s="120"/>
      <c r="F11" s="120"/>
      <c r="G11" s="120"/>
      <c r="H11" s="120"/>
      <c r="I11" s="120"/>
      <c r="J11" s="120"/>
      <c r="K11" s="120"/>
      <c r="L11" s="120"/>
      <c r="M11" s="120"/>
      <c r="N11" s="120"/>
      <c r="O11" s="120"/>
      <c r="P11" s="120"/>
      <c r="Q11" s="92"/>
      <c r="R11" s="92"/>
      <c r="S11" s="92"/>
      <c r="T11" s="92"/>
      <c r="U11" s="92"/>
      <c r="V11" s="92"/>
      <c r="W11" s="92"/>
      <c r="X11" s="92"/>
      <c r="Y11" s="92"/>
      <c r="Z11" s="92"/>
      <c r="AA11" s="92"/>
      <c r="AB11" s="92"/>
      <c r="AC11" s="92"/>
      <c r="AD11" s="92"/>
      <c r="AE11" s="92"/>
      <c r="AF11" s="92"/>
      <c r="AG11" s="92"/>
      <c r="AH11" s="92"/>
      <c r="AI11" s="91"/>
      <c r="AJ11" s="91"/>
      <c r="AK11" s="91"/>
      <c r="AL11" s="91"/>
      <c r="AM11" s="91"/>
      <c r="AN11" s="91"/>
      <c r="AO11" s="91"/>
      <c r="AP11" s="91"/>
      <c r="AQ11" s="91"/>
      <c r="AR11" s="91"/>
      <c r="AS11" s="91"/>
      <c r="AT11" s="91"/>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row>
    <row r="12" spans="1:103">
      <c r="A12" s="543" t="s">
        <v>432</v>
      </c>
      <c r="B12" s="87">
        <v>6.3</v>
      </c>
      <c r="C12" s="87">
        <v>6.6</v>
      </c>
      <c r="D12" s="87">
        <v>4.4000000000000004</v>
      </c>
      <c r="E12" s="87">
        <v>7.9</v>
      </c>
      <c r="F12" s="87">
        <v>4.3</v>
      </c>
      <c r="G12" s="87">
        <v>8.8000000000000007</v>
      </c>
      <c r="H12" s="87">
        <v>4.8</v>
      </c>
      <c r="I12" s="87">
        <v>8.9</v>
      </c>
      <c r="J12" s="87">
        <v>4.8</v>
      </c>
      <c r="K12" s="87">
        <v>7.5</v>
      </c>
      <c r="L12" s="87">
        <v>6.7</v>
      </c>
      <c r="M12" s="87">
        <v>7.1</v>
      </c>
      <c r="N12" s="87">
        <v>6.9</v>
      </c>
      <c r="O12" s="87">
        <v>4.5</v>
      </c>
      <c r="P12" s="87">
        <v>6.5</v>
      </c>
      <c r="Q12" s="68">
        <v>4</v>
      </c>
      <c r="R12" s="88">
        <v>7.1</v>
      </c>
      <c r="S12" s="88">
        <v>7.4</v>
      </c>
      <c r="T12" s="68">
        <v>4</v>
      </c>
      <c r="U12" s="88">
        <v>6.5</v>
      </c>
      <c r="V12" s="88">
        <v>5.9</v>
      </c>
      <c r="W12" s="68">
        <v>5.0999999999999996</v>
      </c>
      <c r="X12" s="88">
        <v>9.9</v>
      </c>
      <c r="Y12" s="88">
        <v>5.9</v>
      </c>
      <c r="Z12" s="68">
        <v>5.6</v>
      </c>
      <c r="AA12" s="88">
        <v>7.2</v>
      </c>
      <c r="AB12" s="88">
        <v>5.3</v>
      </c>
      <c r="AC12" s="88">
        <v>5.2</v>
      </c>
      <c r="AD12" s="88">
        <v>6.5</v>
      </c>
      <c r="AE12" s="88">
        <v>5.2</v>
      </c>
      <c r="AF12" s="88">
        <v>5.8</v>
      </c>
      <c r="AG12" s="68">
        <v>8</v>
      </c>
      <c r="AH12" s="88">
        <v>5.4</v>
      </c>
      <c r="AI12" s="87">
        <v>5.0999999999999996</v>
      </c>
      <c r="AJ12" s="87">
        <v>5.5</v>
      </c>
      <c r="AK12" s="87">
        <v>7.7</v>
      </c>
      <c r="AL12" s="87">
        <v>4.9000000000000004</v>
      </c>
      <c r="AM12" s="87">
        <v>5.3</v>
      </c>
      <c r="AN12" s="87">
        <v>7.2</v>
      </c>
      <c r="AO12" s="87">
        <v>4.8</v>
      </c>
      <c r="AP12" s="87">
        <v>5.3</v>
      </c>
      <c r="AQ12" s="87">
        <v>3.6</v>
      </c>
      <c r="AR12" s="87">
        <v>5.5</v>
      </c>
      <c r="AS12" s="87">
        <v>6.1</v>
      </c>
      <c r="AT12" s="87">
        <v>8.4</v>
      </c>
      <c r="AU12" s="87">
        <v>3.6</v>
      </c>
      <c r="AV12" s="89">
        <v>6</v>
      </c>
      <c r="AW12" s="87">
        <v>5.5</v>
      </c>
      <c r="AX12" s="87">
        <v>5.5</v>
      </c>
      <c r="AY12" s="87">
        <v>2.9</v>
      </c>
      <c r="AZ12" s="87">
        <v>5.6</v>
      </c>
      <c r="BA12" s="87">
        <v>5.2</v>
      </c>
      <c r="BB12" s="87">
        <v>4.5</v>
      </c>
      <c r="BC12" s="87">
        <v>4.5</v>
      </c>
      <c r="BD12" s="87">
        <v>2.2999999999999998</v>
      </c>
      <c r="BE12" s="87">
        <v>4.9000000000000004</v>
      </c>
      <c r="BF12" s="87">
        <v>4.2</v>
      </c>
      <c r="BG12" s="89">
        <v>5</v>
      </c>
      <c r="BH12" s="87">
        <v>4.8</v>
      </c>
      <c r="BI12" s="87">
        <v>5.5</v>
      </c>
      <c r="BJ12" s="87">
        <v>3.7</v>
      </c>
      <c r="BK12" s="87">
        <v>4.4000000000000004</v>
      </c>
      <c r="BL12" s="87">
        <v>2.6</v>
      </c>
      <c r="BM12" s="87">
        <v>3.1</v>
      </c>
      <c r="BN12" s="87">
        <v>2.2999999999999998</v>
      </c>
      <c r="BO12" s="89">
        <v>3</v>
      </c>
      <c r="BP12" s="89">
        <v>2.6</v>
      </c>
      <c r="BQ12" s="89">
        <v>2.7</v>
      </c>
      <c r="BR12" s="89">
        <v>2.6</v>
      </c>
      <c r="BS12" s="89">
        <v>4.5</v>
      </c>
      <c r="BT12" s="89">
        <v>3.3</v>
      </c>
      <c r="BU12" s="89">
        <v>8.6</v>
      </c>
      <c r="BV12" s="89">
        <v>1.2</v>
      </c>
      <c r="BW12" s="89">
        <v>4.5999999999999996</v>
      </c>
      <c r="BX12" s="89">
        <v>3</v>
      </c>
      <c r="BY12" s="89">
        <v>3.5</v>
      </c>
      <c r="BZ12" s="89">
        <v>5.9</v>
      </c>
      <c r="CA12" s="89">
        <v>4.4000000000000004</v>
      </c>
      <c r="CB12" s="89">
        <v>6.6</v>
      </c>
      <c r="CC12" s="89">
        <v>8.1999999999999993</v>
      </c>
      <c r="CD12" s="89">
        <v>4</v>
      </c>
      <c r="CE12" s="89">
        <v>5.2</v>
      </c>
      <c r="CF12" s="89">
        <v>5.2</v>
      </c>
      <c r="CG12" s="89">
        <v>8.1</v>
      </c>
      <c r="CH12" s="89">
        <v>3.5</v>
      </c>
      <c r="CI12" s="89">
        <v>3.9</v>
      </c>
      <c r="CJ12" s="89">
        <v>6.7</v>
      </c>
      <c r="CK12" s="89">
        <v>2.8</v>
      </c>
      <c r="CL12" s="89">
        <v>5.4</v>
      </c>
      <c r="CM12" s="89">
        <v>5.4</v>
      </c>
      <c r="CN12" s="89">
        <v>4.3</v>
      </c>
      <c r="CO12" s="89">
        <v>4.0999999999999996</v>
      </c>
      <c r="CP12" s="89">
        <v>3.3</v>
      </c>
      <c r="CQ12" s="89">
        <v>3.8</v>
      </c>
      <c r="CR12" s="89">
        <v>4.7</v>
      </c>
      <c r="CS12" s="89">
        <v>3.4</v>
      </c>
      <c r="CT12" s="89">
        <v>3.1</v>
      </c>
      <c r="CU12" s="89">
        <v>1.7</v>
      </c>
      <c r="CV12" s="89">
        <v>5</v>
      </c>
      <c r="CW12" s="89">
        <v>3.5</v>
      </c>
      <c r="CX12" s="89">
        <v>2.5</v>
      </c>
      <c r="CY12" s="89">
        <v>3.6</v>
      </c>
    </row>
    <row r="13" spans="1:103">
      <c r="A13" s="543" t="s">
        <v>178</v>
      </c>
      <c r="B13" s="87">
        <v>5.9</v>
      </c>
      <c r="C13" s="87">
        <v>4.7</v>
      </c>
      <c r="D13" s="87">
        <v>3.3</v>
      </c>
      <c r="E13" s="87">
        <v>6</v>
      </c>
      <c r="F13" s="87">
        <v>4.3</v>
      </c>
      <c r="G13" s="87">
        <v>7.4</v>
      </c>
      <c r="H13" s="87">
        <v>4.8</v>
      </c>
      <c r="I13" s="87">
        <v>7.6</v>
      </c>
      <c r="J13" s="87">
        <v>3.7</v>
      </c>
      <c r="K13" s="87">
        <v>6.6</v>
      </c>
      <c r="L13" s="87">
        <v>5.8</v>
      </c>
      <c r="M13" s="87">
        <v>5.9</v>
      </c>
      <c r="N13" s="87">
        <v>5.7</v>
      </c>
      <c r="O13" s="87">
        <v>4.0999999999999996</v>
      </c>
      <c r="P13" s="87">
        <v>7.4</v>
      </c>
      <c r="Q13" s="88">
        <v>5.0999999999999996</v>
      </c>
      <c r="R13" s="88">
        <v>5.3</v>
      </c>
      <c r="S13" s="88">
        <v>7.6</v>
      </c>
      <c r="T13" s="88">
        <v>3.7</v>
      </c>
      <c r="U13" s="88">
        <v>8.1999999999999993</v>
      </c>
      <c r="V13" s="88">
        <v>6.5</v>
      </c>
      <c r="W13" s="88">
        <v>5.7</v>
      </c>
      <c r="X13" s="88">
        <v>10.6</v>
      </c>
      <c r="Y13" s="88">
        <v>7.8</v>
      </c>
      <c r="Z13" s="88">
        <v>5.9</v>
      </c>
      <c r="AA13" s="88">
        <v>8.3000000000000007</v>
      </c>
      <c r="AB13" s="68">
        <v>7</v>
      </c>
      <c r="AC13" s="88">
        <v>6.7</v>
      </c>
      <c r="AD13" s="68">
        <v>7.1</v>
      </c>
      <c r="AE13" s="68">
        <v>6.1</v>
      </c>
      <c r="AF13" s="68">
        <v>5</v>
      </c>
      <c r="AG13" s="88">
        <v>7.9</v>
      </c>
      <c r="AH13" s="88">
        <v>4.5</v>
      </c>
      <c r="AI13" s="89">
        <v>4.5999999999999996</v>
      </c>
      <c r="AJ13" s="89">
        <v>3.5</v>
      </c>
      <c r="AK13" s="89">
        <v>5.6</v>
      </c>
      <c r="AL13" s="89">
        <v>3.2</v>
      </c>
      <c r="AM13" s="89">
        <v>3.3</v>
      </c>
      <c r="AN13" s="89">
        <v>5.5</v>
      </c>
      <c r="AO13" s="89">
        <v>4.3</v>
      </c>
      <c r="AP13" s="89">
        <v>4.0999999999999996</v>
      </c>
      <c r="AQ13" s="89">
        <v>2.2999999999999998</v>
      </c>
      <c r="AR13" s="89">
        <v>3.1</v>
      </c>
      <c r="AS13" s="89">
        <v>5.0999999999999996</v>
      </c>
      <c r="AT13" s="89">
        <v>5.8</v>
      </c>
      <c r="AU13" s="89">
        <v>2.7</v>
      </c>
      <c r="AV13" s="89">
        <v>4.0999999999999996</v>
      </c>
      <c r="AW13" s="89">
        <v>3.3</v>
      </c>
      <c r="AX13" s="89">
        <v>4</v>
      </c>
      <c r="AY13" s="89">
        <v>2.8</v>
      </c>
      <c r="AZ13" s="89">
        <v>4.2</v>
      </c>
      <c r="BA13" s="89">
        <v>5.9</v>
      </c>
      <c r="BB13" s="89">
        <v>5.7</v>
      </c>
      <c r="BC13" s="89">
        <v>4.3</v>
      </c>
      <c r="BD13" s="89">
        <v>2.6</v>
      </c>
      <c r="BE13" s="89">
        <v>4.9000000000000004</v>
      </c>
      <c r="BF13" s="89">
        <v>3.9</v>
      </c>
      <c r="BG13" s="89">
        <v>5.8</v>
      </c>
      <c r="BH13" s="89">
        <v>6</v>
      </c>
      <c r="BI13" s="89">
        <v>4.9000000000000004</v>
      </c>
      <c r="BJ13" s="89">
        <v>3.7</v>
      </c>
      <c r="BK13" s="89">
        <v>4.8</v>
      </c>
      <c r="BL13" s="89">
        <v>3.5</v>
      </c>
      <c r="BM13" s="89">
        <v>1.9</v>
      </c>
      <c r="BN13" s="89">
        <v>4.2</v>
      </c>
      <c r="BO13" s="89">
        <v>3.6</v>
      </c>
      <c r="BP13" s="89">
        <v>2.2000000000000002</v>
      </c>
      <c r="BQ13" s="89">
        <v>2</v>
      </c>
      <c r="BR13" s="89">
        <v>2.7</v>
      </c>
      <c r="BS13" s="89">
        <v>3.3</v>
      </c>
      <c r="BT13" s="89">
        <v>3.1</v>
      </c>
      <c r="BU13" s="89">
        <v>7.2</v>
      </c>
      <c r="BV13" s="89">
        <v>1.6</v>
      </c>
      <c r="BW13" s="89">
        <v>4.3</v>
      </c>
      <c r="BX13" s="89">
        <v>3</v>
      </c>
      <c r="BY13" s="89">
        <v>3</v>
      </c>
      <c r="BZ13" s="89">
        <v>4.8</v>
      </c>
      <c r="CA13" s="89">
        <v>3.6</v>
      </c>
      <c r="CB13" s="89">
        <v>5.5</v>
      </c>
      <c r="CC13" s="89">
        <v>6.4</v>
      </c>
      <c r="CD13" s="89">
        <v>2.9</v>
      </c>
      <c r="CE13" s="89">
        <v>4.3</v>
      </c>
      <c r="CF13" s="89">
        <v>5</v>
      </c>
      <c r="CG13" s="89">
        <v>8.5</v>
      </c>
      <c r="CH13" s="89">
        <v>2.7</v>
      </c>
      <c r="CI13" s="89">
        <v>4.5999999999999996</v>
      </c>
      <c r="CJ13" s="89">
        <v>5.8</v>
      </c>
      <c r="CK13" s="89">
        <v>2.7</v>
      </c>
      <c r="CL13" s="89">
        <v>3.9</v>
      </c>
      <c r="CM13" s="89">
        <v>4.2</v>
      </c>
      <c r="CN13" s="89">
        <v>3.7</v>
      </c>
      <c r="CO13" s="89">
        <v>3.7</v>
      </c>
      <c r="CP13" s="89">
        <v>2.5</v>
      </c>
      <c r="CQ13" s="89">
        <v>3.4</v>
      </c>
      <c r="CR13" s="89">
        <v>4</v>
      </c>
      <c r="CS13" s="89">
        <v>2.5</v>
      </c>
      <c r="CT13" s="89">
        <v>2.9</v>
      </c>
      <c r="CU13" s="89">
        <v>1.4</v>
      </c>
      <c r="CV13" s="89">
        <v>5.2</v>
      </c>
      <c r="CW13" s="89">
        <v>2.5</v>
      </c>
      <c r="CX13" s="89">
        <v>2.1</v>
      </c>
      <c r="CY13" s="89">
        <v>3</v>
      </c>
    </row>
    <row r="14" spans="1:103">
      <c r="A14" s="543" t="s">
        <v>177</v>
      </c>
      <c r="B14" s="89">
        <v>1</v>
      </c>
      <c r="C14" s="89">
        <v>1</v>
      </c>
      <c r="D14" s="87">
        <v>0.7</v>
      </c>
      <c r="E14" s="87">
        <v>0.5</v>
      </c>
      <c r="F14" s="87">
        <v>0.1</v>
      </c>
      <c r="G14" s="87">
        <v>0.9</v>
      </c>
      <c r="H14" s="87">
        <v>-0.06</v>
      </c>
      <c r="I14" s="87">
        <v>0.9</v>
      </c>
      <c r="J14" s="89">
        <v>0.34</v>
      </c>
      <c r="K14" s="87">
        <v>0.1</v>
      </c>
      <c r="L14" s="87">
        <v>0.6</v>
      </c>
      <c r="M14" s="87">
        <v>0.8</v>
      </c>
      <c r="N14" s="87">
        <v>0.3</v>
      </c>
      <c r="O14" s="87">
        <v>-0.1</v>
      </c>
      <c r="P14" s="87">
        <v>0.1</v>
      </c>
      <c r="Q14" s="88">
        <v>-0.4</v>
      </c>
      <c r="R14" s="68">
        <v>0</v>
      </c>
      <c r="S14" s="88">
        <v>0.1</v>
      </c>
      <c r="T14" s="88">
        <v>0.4</v>
      </c>
      <c r="U14" s="88">
        <v>0.4</v>
      </c>
      <c r="V14" s="88">
        <v>1.1000000000000001</v>
      </c>
      <c r="W14" s="88">
        <v>0.8</v>
      </c>
      <c r="X14" s="88">
        <v>0.8</v>
      </c>
      <c r="Y14" s="88">
        <v>0.9</v>
      </c>
      <c r="Z14" s="88">
        <v>0.6</v>
      </c>
      <c r="AA14" s="88">
        <v>0.8</v>
      </c>
      <c r="AB14" s="88">
        <v>0.7</v>
      </c>
      <c r="AC14" s="88">
        <v>0.5</v>
      </c>
      <c r="AD14" s="88">
        <v>0.5</v>
      </c>
      <c r="AE14" s="88">
        <v>0.8</v>
      </c>
      <c r="AF14" s="88">
        <v>0.7</v>
      </c>
      <c r="AG14" s="88">
        <v>1.1000000000000001</v>
      </c>
      <c r="AH14" s="88">
        <v>0.4</v>
      </c>
      <c r="AI14" s="87">
        <v>0.6</v>
      </c>
      <c r="AJ14" s="87">
        <v>0.6</v>
      </c>
      <c r="AK14" s="87">
        <v>0.7</v>
      </c>
      <c r="AL14" s="87">
        <v>0.4</v>
      </c>
      <c r="AM14" s="87">
        <v>0.3</v>
      </c>
      <c r="AN14" s="87">
        <v>0.1</v>
      </c>
      <c r="AO14" s="87">
        <v>-0.1</v>
      </c>
      <c r="AP14" s="87">
        <v>-0.6</v>
      </c>
      <c r="AQ14" s="87">
        <v>0.3</v>
      </c>
      <c r="AR14" s="87">
        <v>0.4</v>
      </c>
      <c r="AS14" s="87">
        <v>0.5</v>
      </c>
      <c r="AT14" s="87">
        <v>0.5</v>
      </c>
      <c r="AU14" s="89">
        <v>-0.2</v>
      </c>
      <c r="AV14" s="89">
        <v>0.1</v>
      </c>
      <c r="AW14" s="89">
        <v>1</v>
      </c>
      <c r="AX14" s="89">
        <v>0.7</v>
      </c>
      <c r="AY14" s="89">
        <v>0.1</v>
      </c>
      <c r="AZ14" s="89">
        <v>0.6</v>
      </c>
      <c r="BA14" s="89">
        <v>0.9</v>
      </c>
      <c r="BB14" s="89">
        <v>1</v>
      </c>
      <c r="BC14" s="89">
        <v>0.9</v>
      </c>
      <c r="BD14" s="89">
        <v>0.7</v>
      </c>
      <c r="BE14" s="89">
        <v>0.9</v>
      </c>
      <c r="BF14" s="89">
        <v>0.7</v>
      </c>
      <c r="BG14" s="89">
        <v>1</v>
      </c>
      <c r="BH14" s="89">
        <v>1.3</v>
      </c>
      <c r="BI14" s="89">
        <v>1.4</v>
      </c>
      <c r="BJ14" s="89">
        <v>0.9</v>
      </c>
      <c r="BK14" s="89">
        <v>1.2</v>
      </c>
      <c r="BL14" s="89">
        <v>0.8</v>
      </c>
      <c r="BM14" s="89">
        <v>0.9</v>
      </c>
      <c r="BN14" s="89">
        <v>0.8</v>
      </c>
      <c r="BO14" s="89">
        <v>1</v>
      </c>
      <c r="BP14" s="89">
        <v>0.9</v>
      </c>
      <c r="BQ14" s="89">
        <v>0.9</v>
      </c>
      <c r="BR14" s="89">
        <v>0.8</v>
      </c>
      <c r="BS14" s="89">
        <v>0.9</v>
      </c>
      <c r="BT14" s="89">
        <v>0.6</v>
      </c>
      <c r="BU14" s="89">
        <v>1.4</v>
      </c>
      <c r="BV14" s="89">
        <v>0.2</v>
      </c>
      <c r="BW14" s="89">
        <v>0.2</v>
      </c>
      <c r="BX14" s="89">
        <v>0.1</v>
      </c>
      <c r="BY14" s="89">
        <v>0.2</v>
      </c>
      <c r="BZ14" s="89">
        <v>0.7</v>
      </c>
      <c r="CA14" s="89">
        <v>0.4</v>
      </c>
      <c r="CB14" s="89">
        <v>0.4</v>
      </c>
      <c r="CC14" s="89">
        <v>0.4</v>
      </c>
      <c r="CD14" s="89">
        <v>0</v>
      </c>
      <c r="CE14" s="89">
        <v>0</v>
      </c>
      <c r="CF14" s="89">
        <v>0</v>
      </c>
      <c r="CG14" s="89">
        <v>1</v>
      </c>
      <c r="CH14" s="89">
        <v>0.3</v>
      </c>
      <c r="CI14" s="89">
        <v>0</v>
      </c>
      <c r="CJ14" s="89">
        <v>1.1000000000000001</v>
      </c>
      <c r="CK14" s="89">
        <v>0.3</v>
      </c>
      <c r="CL14" s="89">
        <v>0.1</v>
      </c>
      <c r="CM14" s="89">
        <v>0.8</v>
      </c>
      <c r="CN14" s="89">
        <v>0.6</v>
      </c>
      <c r="CO14" s="89">
        <v>0.3</v>
      </c>
      <c r="CP14" s="89">
        <v>0.1</v>
      </c>
      <c r="CQ14" s="89">
        <v>0.7</v>
      </c>
      <c r="CR14" s="89">
        <v>0.7</v>
      </c>
      <c r="CS14" s="89">
        <v>0.6</v>
      </c>
      <c r="CT14" s="89">
        <v>0.6</v>
      </c>
      <c r="CU14" s="89">
        <v>0.2</v>
      </c>
      <c r="CV14" s="89">
        <v>0.7</v>
      </c>
      <c r="CW14" s="89">
        <v>0.5</v>
      </c>
      <c r="CX14" s="89">
        <v>0.3</v>
      </c>
      <c r="CY14" s="89">
        <v>0.6</v>
      </c>
    </row>
    <row r="15" spans="1:103">
      <c r="A15" s="543" t="s">
        <v>320</v>
      </c>
      <c r="B15" s="87">
        <v>0.04</v>
      </c>
      <c r="C15" s="87">
        <v>3.0000000000000001E-3</v>
      </c>
      <c r="D15" s="87">
        <v>0</v>
      </c>
      <c r="E15" s="87">
        <v>0.04</v>
      </c>
      <c r="F15" s="87">
        <v>0.06</v>
      </c>
      <c r="G15" s="87">
        <v>0.02</v>
      </c>
      <c r="H15" s="87">
        <v>0.04</v>
      </c>
      <c r="I15" s="87">
        <v>0.05</v>
      </c>
      <c r="J15" s="89">
        <v>0</v>
      </c>
      <c r="K15" s="87">
        <v>0.13</v>
      </c>
      <c r="L15" s="87">
        <v>0.04</v>
      </c>
      <c r="M15" s="87">
        <v>0.02</v>
      </c>
      <c r="N15" s="87">
        <v>0.02</v>
      </c>
      <c r="O15" s="87">
        <v>5.8999999999999997E-2</v>
      </c>
      <c r="P15" s="87">
        <v>0.16</v>
      </c>
      <c r="Q15" s="94">
        <v>0.13400000000000001</v>
      </c>
      <c r="R15" s="88">
        <v>0.14000000000000001</v>
      </c>
      <c r="S15" s="88">
        <v>0.04</v>
      </c>
      <c r="T15" s="94">
        <v>9.1999999999999998E-2</v>
      </c>
      <c r="U15" s="88">
        <v>0.02</v>
      </c>
      <c r="V15" s="88">
        <v>0.02</v>
      </c>
      <c r="W15" s="88">
        <v>0.06</v>
      </c>
      <c r="X15" s="88">
        <v>7.0000000000000007E-2</v>
      </c>
      <c r="Y15" s="88">
        <v>0.05</v>
      </c>
      <c r="Z15" s="88">
        <v>0.04</v>
      </c>
      <c r="AA15" s="121">
        <v>9.2999999999999999E-2</v>
      </c>
      <c r="AB15" s="121">
        <v>8.8999999999999996E-2</v>
      </c>
      <c r="AC15" s="121">
        <v>8.1000000000000003E-2</v>
      </c>
      <c r="AD15" s="121">
        <v>3.7999999999999999E-2</v>
      </c>
      <c r="AE15" s="121">
        <v>4.1000000000000002E-2</v>
      </c>
      <c r="AF15" s="121">
        <v>6.0999999999999999E-2</v>
      </c>
      <c r="AG15" s="94">
        <v>0.02</v>
      </c>
      <c r="AH15" s="94">
        <v>0.02</v>
      </c>
      <c r="AI15" s="123">
        <v>0.04</v>
      </c>
      <c r="AJ15" s="123">
        <v>0.04</v>
      </c>
      <c r="AK15" s="123">
        <v>0.09</v>
      </c>
      <c r="AL15" s="124" t="s">
        <v>32</v>
      </c>
      <c r="AM15" s="124" t="s">
        <v>32</v>
      </c>
      <c r="AN15" s="129" t="s">
        <v>15</v>
      </c>
      <c r="AO15" s="129" t="s">
        <v>15</v>
      </c>
      <c r="AP15" s="129" t="s">
        <v>15</v>
      </c>
      <c r="AQ15" s="129" t="s">
        <v>15</v>
      </c>
      <c r="AR15" s="129" t="s">
        <v>15</v>
      </c>
      <c r="AS15" s="129" t="s">
        <v>15</v>
      </c>
      <c r="AT15" s="129" t="s">
        <v>15</v>
      </c>
      <c r="AU15" s="128" t="s">
        <v>15</v>
      </c>
      <c r="AV15" s="128" t="s">
        <v>15</v>
      </c>
      <c r="AW15" s="128" t="s">
        <v>15</v>
      </c>
      <c r="AX15" s="128" t="s">
        <v>15</v>
      </c>
      <c r="AY15" s="87" t="s">
        <v>15</v>
      </c>
      <c r="AZ15" s="128" t="s">
        <v>15</v>
      </c>
      <c r="BA15" s="128" t="s">
        <v>15</v>
      </c>
      <c r="BB15" s="128" t="s">
        <v>15</v>
      </c>
      <c r="BC15" s="128" t="s">
        <v>15</v>
      </c>
      <c r="BD15" s="128" t="s">
        <v>15</v>
      </c>
      <c r="BE15" s="128" t="s">
        <v>15</v>
      </c>
      <c r="BF15" s="128" t="s">
        <v>15</v>
      </c>
      <c r="BG15" s="128" t="s">
        <v>15</v>
      </c>
      <c r="BH15" s="128" t="s">
        <v>15</v>
      </c>
      <c r="BI15" s="128" t="s">
        <v>15</v>
      </c>
      <c r="BJ15" s="128" t="s">
        <v>15</v>
      </c>
      <c r="BK15" s="128" t="s">
        <v>15</v>
      </c>
      <c r="BL15" s="128" t="s">
        <v>15</v>
      </c>
      <c r="BM15" s="128" t="s">
        <v>15</v>
      </c>
      <c r="BN15" s="128" t="s">
        <v>15</v>
      </c>
      <c r="BO15" s="128" t="s">
        <v>15</v>
      </c>
      <c r="BP15" s="128" t="s">
        <v>15</v>
      </c>
      <c r="BQ15" s="128" t="s">
        <v>15</v>
      </c>
      <c r="BR15" s="128" t="s">
        <v>15</v>
      </c>
      <c r="BS15" s="128" t="s">
        <v>15</v>
      </c>
      <c r="BT15" s="128" t="s">
        <v>15</v>
      </c>
      <c r="BU15" s="128" t="s">
        <v>15</v>
      </c>
      <c r="BV15" s="128" t="s">
        <v>15</v>
      </c>
      <c r="BW15" s="128" t="s">
        <v>15</v>
      </c>
      <c r="BX15" s="128" t="s">
        <v>15</v>
      </c>
      <c r="BY15" s="128" t="s">
        <v>15</v>
      </c>
      <c r="BZ15" s="128" t="s">
        <v>15</v>
      </c>
      <c r="CA15" s="128" t="s">
        <v>15</v>
      </c>
      <c r="CB15" s="128" t="s">
        <v>15</v>
      </c>
      <c r="CC15" s="128" t="s">
        <v>15</v>
      </c>
      <c r="CD15" s="128" t="s">
        <v>15</v>
      </c>
      <c r="CE15" s="128" t="s">
        <v>15</v>
      </c>
      <c r="CF15" s="128" t="s">
        <v>15</v>
      </c>
      <c r="CG15" s="128" t="s">
        <v>15</v>
      </c>
      <c r="CH15" s="128" t="s">
        <v>15</v>
      </c>
      <c r="CI15" s="128" t="s">
        <v>15</v>
      </c>
      <c r="CJ15" s="128" t="s">
        <v>15</v>
      </c>
      <c r="CK15" s="128" t="s">
        <v>15</v>
      </c>
      <c r="CL15" s="128" t="s">
        <v>15</v>
      </c>
      <c r="CM15" s="128" t="s">
        <v>15</v>
      </c>
      <c r="CN15" s="128" t="s">
        <v>15</v>
      </c>
      <c r="CO15" s="128" t="s">
        <v>15</v>
      </c>
      <c r="CP15" s="128" t="s">
        <v>15</v>
      </c>
      <c r="CQ15" s="128" t="s">
        <v>15</v>
      </c>
      <c r="CR15" s="128" t="s">
        <v>15</v>
      </c>
      <c r="CS15" s="128" t="s">
        <v>15</v>
      </c>
      <c r="CT15" s="128" t="s">
        <v>15</v>
      </c>
      <c r="CU15" s="128" t="s">
        <v>15</v>
      </c>
      <c r="CV15" s="128" t="s">
        <v>15</v>
      </c>
      <c r="CW15" s="128" t="s">
        <v>15</v>
      </c>
      <c r="CX15" s="128" t="s">
        <v>15</v>
      </c>
      <c r="CY15" s="128" t="s">
        <v>15</v>
      </c>
    </row>
    <row r="16" spans="1:103" s="82" customFormat="1" ht="16.5" customHeight="1">
      <c r="A16" s="538" t="s">
        <v>38</v>
      </c>
      <c r="B16" s="119"/>
      <c r="C16" s="119"/>
      <c r="D16" s="119"/>
      <c r="E16" s="120"/>
      <c r="F16" s="120"/>
      <c r="G16" s="120"/>
      <c r="H16" s="120"/>
      <c r="I16" s="120"/>
      <c r="J16" s="120"/>
      <c r="K16" s="120"/>
      <c r="L16" s="120"/>
      <c r="M16" s="120"/>
      <c r="N16" s="120"/>
      <c r="O16" s="120"/>
      <c r="P16" s="120"/>
      <c r="Q16" s="92"/>
      <c r="R16" s="92"/>
      <c r="S16" s="92"/>
      <c r="T16" s="92"/>
      <c r="U16" s="92"/>
      <c r="V16" s="92"/>
      <c r="W16" s="92"/>
      <c r="X16" s="92"/>
      <c r="Y16" s="92"/>
      <c r="Z16" s="92"/>
      <c r="AA16" s="92"/>
      <c r="AB16" s="92"/>
      <c r="AC16" s="92"/>
      <c r="AD16" s="92"/>
      <c r="AE16" s="92"/>
      <c r="AF16" s="92"/>
      <c r="AG16" s="92"/>
      <c r="AH16" s="92"/>
      <c r="AI16" s="91"/>
      <c r="AJ16" s="91"/>
      <c r="AK16" s="91"/>
      <c r="AL16" s="91"/>
      <c r="AM16" s="91"/>
      <c r="AN16" s="91"/>
      <c r="AO16" s="91"/>
      <c r="AP16" s="91"/>
      <c r="AQ16" s="91"/>
      <c r="AR16" s="91"/>
      <c r="AS16" s="91"/>
      <c r="AT16" s="91"/>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row>
    <row r="17" spans="1:103">
      <c r="A17" s="543" t="s">
        <v>432</v>
      </c>
      <c r="B17" s="87">
        <v>2.2000000000000002</v>
      </c>
      <c r="C17" s="87">
        <v>5.6</v>
      </c>
      <c r="D17" s="87">
        <v>4.8</v>
      </c>
      <c r="E17" s="87">
        <v>2</v>
      </c>
      <c r="F17" s="87">
        <v>5.6</v>
      </c>
      <c r="G17" s="87">
        <v>2.5</v>
      </c>
      <c r="H17" s="87">
        <v>5.8</v>
      </c>
      <c r="I17" s="87">
        <v>3.3</v>
      </c>
      <c r="J17" s="87">
        <v>4.7</v>
      </c>
      <c r="K17" s="87">
        <v>4.4000000000000004</v>
      </c>
      <c r="L17" s="87">
        <v>4.7</v>
      </c>
      <c r="M17" s="87">
        <v>6.6</v>
      </c>
      <c r="N17" s="89">
        <v>4</v>
      </c>
      <c r="O17" s="87">
        <v>6.3</v>
      </c>
      <c r="P17" s="89">
        <v>4</v>
      </c>
      <c r="Q17" s="88">
        <v>5.3</v>
      </c>
      <c r="R17" s="88">
        <v>5.3</v>
      </c>
      <c r="S17" s="88">
        <v>5.4</v>
      </c>
      <c r="T17" s="88">
        <v>5.0999999999999996</v>
      </c>
      <c r="U17" s="68">
        <v>4</v>
      </c>
      <c r="V17" s="88">
        <v>6.6</v>
      </c>
      <c r="W17" s="68">
        <v>3</v>
      </c>
      <c r="X17" s="68">
        <v>4.3</v>
      </c>
      <c r="Y17" s="88">
        <v>7.8</v>
      </c>
      <c r="Z17" s="88">
        <v>4.3</v>
      </c>
      <c r="AA17" s="88">
        <v>5.3</v>
      </c>
      <c r="AB17" s="88">
        <v>5.2</v>
      </c>
      <c r="AC17" s="88">
        <v>8.1</v>
      </c>
      <c r="AD17" s="88">
        <v>7.1</v>
      </c>
      <c r="AE17" s="88">
        <v>7.9</v>
      </c>
      <c r="AF17" s="88">
        <v>5.4</v>
      </c>
      <c r="AG17" s="88">
        <v>9.1</v>
      </c>
      <c r="AH17" s="88">
        <v>4.2</v>
      </c>
      <c r="AI17" s="89">
        <v>7</v>
      </c>
      <c r="AJ17" s="87">
        <v>9.3000000000000007</v>
      </c>
      <c r="AK17" s="87">
        <v>8.1999999999999993</v>
      </c>
      <c r="AL17" s="87">
        <v>6.1</v>
      </c>
      <c r="AM17" s="87">
        <v>5.9</v>
      </c>
      <c r="AN17" s="87">
        <v>9.6999999999999993</v>
      </c>
      <c r="AO17" s="87">
        <v>9.1</v>
      </c>
      <c r="AP17" s="87">
        <v>6.9</v>
      </c>
      <c r="AQ17" s="87">
        <v>11.1</v>
      </c>
      <c r="AR17" s="87">
        <v>10.4</v>
      </c>
      <c r="AS17" s="87">
        <v>8.1999999999999993</v>
      </c>
      <c r="AT17" s="87">
        <v>9.3000000000000007</v>
      </c>
      <c r="AU17" s="89">
        <v>6.4</v>
      </c>
      <c r="AV17" s="89">
        <v>8.8000000000000007</v>
      </c>
      <c r="AW17" s="89">
        <v>10.5</v>
      </c>
      <c r="AX17" s="89">
        <v>8.3000000000000007</v>
      </c>
      <c r="AY17" s="89">
        <v>7.8</v>
      </c>
      <c r="AZ17" s="89">
        <v>7.7</v>
      </c>
      <c r="BA17" s="89">
        <v>7</v>
      </c>
      <c r="BB17" s="89">
        <v>7.4</v>
      </c>
      <c r="BC17" s="89">
        <v>5.9</v>
      </c>
      <c r="BD17" s="89">
        <v>6.6</v>
      </c>
      <c r="BE17" s="89">
        <v>9.8000000000000007</v>
      </c>
      <c r="BF17" s="89">
        <v>7</v>
      </c>
      <c r="BG17" s="89">
        <v>9.4</v>
      </c>
      <c r="BH17" s="89">
        <v>6.3</v>
      </c>
      <c r="BI17" s="89">
        <v>7.7</v>
      </c>
      <c r="BJ17" s="89">
        <v>6.7</v>
      </c>
      <c r="BK17" s="89">
        <v>4.9000000000000004</v>
      </c>
      <c r="BL17" s="89">
        <v>7.3</v>
      </c>
      <c r="BM17" s="89">
        <v>7.4</v>
      </c>
      <c r="BN17" s="89">
        <v>7.2</v>
      </c>
      <c r="BO17" s="89">
        <v>7.4</v>
      </c>
      <c r="BP17" s="89">
        <v>3.6</v>
      </c>
      <c r="BQ17" s="89">
        <v>8.6999999999999993</v>
      </c>
      <c r="BR17" s="89">
        <v>6.4</v>
      </c>
      <c r="BS17" s="89">
        <v>6.5</v>
      </c>
      <c r="BT17" s="89">
        <v>7.2</v>
      </c>
      <c r="BU17" s="89">
        <v>7.3</v>
      </c>
      <c r="BV17" s="89">
        <v>5.4</v>
      </c>
      <c r="BW17" s="89">
        <v>3.6</v>
      </c>
      <c r="BX17" s="89">
        <v>7.1</v>
      </c>
      <c r="BY17" s="89">
        <v>5.0999999999999996</v>
      </c>
      <c r="BZ17" s="89">
        <v>6.6</v>
      </c>
      <c r="CA17" s="89">
        <v>7.1</v>
      </c>
      <c r="CB17" s="89">
        <v>5.8</v>
      </c>
      <c r="CC17" s="89">
        <v>7.2</v>
      </c>
      <c r="CD17" s="89">
        <v>8.8000000000000007</v>
      </c>
      <c r="CE17" s="89">
        <v>7.1</v>
      </c>
      <c r="CF17" s="89">
        <v>7.6</v>
      </c>
      <c r="CG17" s="89">
        <v>9.6999999999999993</v>
      </c>
      <c r="CH17" s="89">
        <v>4.9000000000000004</v>
      </c>
      <c r="CI17" s="89">
        <v>6.6</v>
      </c>
      <c r="CJ17" s="89">
        <v>9.1999999999999993</v>
      </c>
      <c r="CK17" s="89">
        <v>5.5</v>
      </c>
      <c r="CL17" s="89">
        <v>7.3</v>
      </c>
      <c r="CM17" s="89">
        <v>9.3000000000000007</v>
      </c>
      <c r="CN17" s="89">
        <v>3.4</v>
      </c>
      <c r="CO17" s="89">
        <v>8</v>
      </c>
      <c r="CP17" s="89">
        <v>9.6</v>
      </c>
      <c r="CQ17" s="89">
        <v>5.8</v>
      </c>
      <c r="CR17" s="89">
        <v>7</v>
      </c>
      <c r="CS17" s="89">
        <v>10.8</v>
      </c>
      <c r="CT17" s="89">
        <v>4.0999999999999996</v>
      </c>
      <c r="CU17" s="89">
        <v>4</v>
      </c>
      <c r="CV17" s="89">
        <v>10.6</v>
      </c>
      <c r="CW17" s="89">
        <v>2.9</v>
      </c>
      <c r="CX17" s="89">
        <v>8.6999999999999993</v>
      </c>
      <c r="CY17" s="89">
        <v>9.5</v>
      </c>
    </row>
    <row r="18" spans="1:103">
      <c r="A18" s="543" t="s">
        <v>320</v>
      </c>
      <c r="B18" s="87">
        <v>1.3</v>
      </c>
      <c r="C18" s="87">
        <v>1.5</v>
      </c>
      <c r="D18" s="87">
        <v>1.3</v>
      </c>
      <c r="E18" s="87">
        <v>1.3</v>
      </c>
      <c r="F18" s="87" t="s">
        <v>37</v>
      </c>
      <c r="G18" s="87">
        <v>2.5</v>
      </c>
      <c r="H18" s="87">
        <v>1.4</v>
      </c>
      <c r="I18" s="87">
        <v>1.6</v>
      </c>
      <c r="J18" s="87">
        <v>1.6</v>
      </c>
      <c r="K18" s="87">
        <v>1.3</v>
      </c>
      <c r="L18" s="87">
        <v>1.3</v>
      </c>
      <c r="M18" s="87">
        <v>1.5</v>
      </c>
      <c r="N18" s="89">
        <v>1</v>
      </c>
      <c r="O18" s="87">
        <v>1.4</v>
      </c>
      <c r="P18" s="89">
        <v>1</v>
      </c>
      <c r="Q18" s="88">
        <v>0.8</v>
      </c>
      <c r="R18" s="88">
        <v>0.8</v>
      </c>
      <c r="S18" s="88">
        <v>0.9</v>
      </c>
      <c r="T18" s="88">
        <v>0.8</v>
      </c>
      <c r="U18" s="88">
        <v>1.2</v>
      </c>
      <c r="V18" s="88">
        <v>1.2</v>
      </c>
      <c r="W18" s="88">
        <v>0.7</v>
      </c>
      <c r="X18" s="88">
        <v>1.3</v>
      </c>
      <c r="Y18" s="88">
        <v>0.7</v>
      </c>
      <c r="Z18" s="88">
        <v>0.9</v>
      </c>
      <c r="AA18" s="88">
        <v>1.4</v>
      </c>
      <c r="AB18" s="88">
        <v>0.3</v>
      </c>
      <c r="AC18" s="88">
        <v>0.8</v>
      </c>
      <c r="AD18" s="88">
        <v>0.6</v>
      </c>
      <c r="AE18" s="88">
        <v>0.6</v>
      </c>
      <c r="AF18" s="88">
        <v>0.9</v>
      </c>
      <c r="AG18" s="88">
        <v>0.6</v>
      </c>
      <c r="AH18" s="88">
        <v>0.7</v>
      </c>
      <c r="AI18" s="87">
        <v>0.8</v>
      </c>
      <c r="AJ18" s="87">
        <v>0.7</v>
      </c>
      <c r="AK18" s="89">
        <v>1</v>
      </c>
      <c r="AL18" s="87">
        <v>0.5</v>
      </c>
      <c r="AM18" s="87">
        <v>0.7</v>
      </c>
      <c r="AN18" s="87">
        <v>1.1000000000000001</v>
      </c>
      <c r="AO18" s="87">
        <v>0.6</v>
      </c>
      <c r="AP18" s="87">
        <v>0.5</v>
      </c>
      <c r="AQ18" s="87">
        <v>0.8</v>
      </c>
      <c r="AR18" s="87">
        <v>0.2</v>
      </c>
      <c r="AS18" s="87">
        <v>0.8</v>
      </c>
      <c r="AT18" s="87">
        <v>0.7</v>
      </c>
      <c r="AU18" s="89">
        <v>0.8</v>
      </c>
      <c r="AV18" s="89">
        <v>0.6</v>
      </c>
      <c r="AW18" s="89">
        <v>0.7</v>
      </c>
      <c r="AX18" s="89">
        <v>0.5</v>
      </c>
      <c r="AY18" s="89">
        <v>0.1</v>
      </c>
      <c r="AZ18" s="89">
        <v>0.2</v>
      </c>
      <c r="BA18" s="89">
        <v>0.5</v>
      </c>
      <c r="BB18" s="89">
        <v>0.5</v>
      </c>
      <c r="BC18" s="89">
        <v>0.2</v>
      </c>
      <c r="BD18" s="89">
        <v>0.3</v>
      </c>
      <c r="BE18" s="89">
        <v>0.3</v>
      </c>
      <c r="BF18" s="89">
        <v>0.3</v>
      </c>
      <c r="BG18" s="89">
        <v>0.7</v>
      </c>
      <c r="BH18" s="89">
        <v>0.4</v>
      </c>
      <c r="BI18" s="89">
        <v>0.2</v>
      </c>
      <c r="BJ18" s="89">
        <v>0.1</v>
      </c>
      <c r="BK18" s="89">
        <v>0.3</v>
      </c>
      <c r="BL18" s="123">
        <v>0.25</v>
      </c>
      <c r="BM18" s="89">
        <v>0.1</v>
      </c>
      <c r="BN18" s="89">
        <v>0.1</v>
      </c>
      <c r="BO18" s="89">
        <v>0.4</v>
      </c>
      <c r="BP18" s="89">
        <v>0.3</v>
      </c>
      <c r="BQ18" s="89">
        <v>0.3</v>
      </c>
      <c r="BR18" s="89">
        <v>0.4</v>
      </c>
      <c r="BS18" s="89">
        <v>0.4</v>
      </c>
      <c r="BT18" s="89">
        <v>0.2</v>
      </c>
      <c r="BU18" s="89">
        <v>0.3</v>
      </c>
      <c r="BV18" s="89">
        <v>0.7</v>
      </c>
      <c r="BW18" s="89">
        <v>0.3</v>
      </c>
      <c r="BX18" s="89">
        <v>0.03</v>
      </c>
      <c r="BY18" s="89">
        <v>0.4</v>
      </c>
      <c r="BZ18" s="123">
        <v>0.16</v>
      </c>
      <c r="CA18" s="89">
        <v>0.2</v>
      </c>
      <c r="CB18" s="89">
        <v>0.1</v>
      </c>
      <c r="CC18" s="89">
        <v>0.2</v>
      </c>
      <c r="CD18" s="89">
        <v>0.3</v>
      </c>
      <c r="CE18" s="89">
        <v>0.5</v>
      </c>
      <c r="CF18" s="89">
        <v>0.2</v>
      </c>
      <c r="CG18" s="89">
        <v>0.7</v>
      </c>
      <c r="CH18" s="89">
        <v>0.3</v>
      </c>
      <c r="CI18" s="89">
        <v>0.4</v>
      </c>
      <c r="CJ18" s="89">
        <v>0.1</v>
      </c>
      <c r="CK18" s="89">
        <v>0.2</v>
      </c>
      <c r="CL18" s="89">
        <v>0.21</v>
      </c>
      <c r="CM18" s="89">
        <v>0.3</v>
      </c>
      <c r="CN18" s="89">
        <v>0.4</v>
      </c>
      <c r="CO18" s="89">
        <v>0.5</v>
      </c>
      <c r="CP18" s="89">
        <v>0.8</v>
      </c>
      <c r="CQ18" s="89">
        <v>0.9</v>
      </c>
      <c r="CR18" s="89">
        <v>0.4</v>
      </c>
      <c r="CS18" s="89">
        <v>0.5</v>
      </c>
      <c r="CT18" s="89">
        <v>0.2</v>
      </c>
      <c r="CU18" s="89">
        <v>0.3</v>
      </c>
      <c r="CV18" s="89">
        <v>0.4</v>
      </c>
      <c r="CW18" s="89">
        <v>0.4</v>
      </c>
      <c r="CX18" s="89">
        <v>0.5</v>
      </c>
      <c r="CY18" s="89">
        <v>0.4</v>
      </c>
    </row>
    <row r="19" spans="1:103">
      <c r="A19" s="543" t="s">
        <v>177</v>
      </c>
      <c r="B19" s="87">
        <v>0.5</v>
      </c>
      <c r="C19" s="87">
        <v>1.5</v>
      </c>
      <c r="D19" s="87">
        <v>1.3</v>
      </c>
      <c r="E19" s="87">
        <v>0.3</v>
      </c>
      <c r="F19" s="87">
        <v>1.5</v>
      </c>
      <c r="G19" s="87">
        <v>1.3</v>
      </c>
      <c r="H19" s="87">
        <v>1.5</v>
      </c>
      <c r="I19" s="87">
        <v>1</v>
      </c>
      <c r="J19" s="87">
        <v>1.4</v>
      </c>
      <c r="K19" s="87">
        <v>1.3</v>
      </c>
      <c r="L19" s="87">
        <v>1.3</v>
      </c>
      <c r="M19" s="87">
        <v>1.8</v>
      </c>
      <c r="N19" s="89">
        <v>1</v>
      </c>
      <c r="O19" s="87">
        <v>1.6</v>
      </c>
      <c r="P19" s="87">
        <v>0.9</v>
      </c>
      <c r="Q19" s="88">
        <v>1.3</v>
      </c>
      <c r="R19" s="88">
        <v>1.2</v>
      </c>
      <c r="S19" s="88">
        <v>1.3</v>
      </c>
      <c r="T19" s="88">
        <v>1.3</v>
      </c>
      <c r="U19" s="88">
        <v>0.9</v>
      </c>
      <c r="V19" s="88">
        <v>1.7</v>
      </c>
      <c r="W19" s="88">
        <v>0.7</v>
      </c>
      <c r="X19" s="68">
        <v>1</v>
      </c>
      <c r="Y19" s="88">
        <v>1.9</v>
      </c>
      <c r="Z19" s="88">
        <v>1.1000000000000001</v>
      </c>
      <c r="AA19" s="88">
        <v>1.7</v>
      </c>
      <c r="AB19" s="88">
        <v>1.6</v>
      </c>
      <c r="AC19" s="88">
        <v>2.6</v>
      </c>
      <c r="AD19" s="88">
        <v>2.5</v>
      </c>
      <c r="AE19" s="88">
        <v>2.6</v>
      </c>
      <c r="AF19" s="88">
        <v>1.8</v>
      </c>
      <c r="AG19" s="88">
        <v>3.3</v>
      </c>
      <c r="AH19" s="88">
        <v>1.7</v>
      </c>
      <c r="AI19" s="87">
        <v>2.5</v>
      </c>
      <c r="AJ19" s="87">
        <v>3.6</v>
      </c>
      <c r="AK19" s="87">
        <v>2.8</v>
      </c>
      <c r="AL19" s="87">
        <v>1.9</v>
      </c>
      <c r="AM19" s="87">
        <v>1.9</v>
      </c>
      <c r="AN19" s="87">
        <v>3.1</v>
      </c>
      <c r="AO19" s="87">
        <v>3.2</v>
      </c>
      <c r="AP19" s="87">
        <v>1.6</v>
      </c>
      <c r="AQ19" s="87">
        <v>3.2</v>
      </c>
      <c r="AR19" s="87">
        <v>2.9</v>
      </c>
      <c r="AS19" s="87">
        <v>2.1</v>
      </c>
      <c r="AT19" s="87">
        <v>2.7</v>
      </c>
      <c r="AU19" s="89">
        <v>2</v>
      </c>
      <c r="AV19" s="87">
        <v>2.6</v>
      </c>
      <c r="AW19" s="87">
        <v>3.5</v>
      </c>
      <c r="AX19" s="87">
        <v>2.7</v>
      </c>
      <c r="AY19" s="87">
        <v>2.5</v>
      </c>
      <c r="AZ19" s="87">
        <v>2.2999999999999998</v>
      </c>
      <c r="BA19" s="87">
        <v>2.2999999999999998</v>
      </c>
      <c r="BB19" s="87">
        <v>2.5</v>
      </c>
      <c r="BC19" s="87">
        <v>1.8</v>
      </c>
      <c r="BD19" s="87">
        <v>1.8</v>
      </c>
      <c r="BE19" s="87">
        <v>2.8</v>
      </c>
      <c r="BF19" s="87">
        <v>2.2999999999999998</v>
      </c>
      <c r="BG19" s="87">
        <v>2.4</v>
      </c>
      <c r="BH19" s="87">
        <v>1.9</v>
      </c>
      <c r="BI19" s="89">
        <v>2</v>
      </c>
      <c r="BJ19" s="87">
        <v>1.9</v>
      </c>
      <c r="BK19" s="87">
        <v>1.2</v>
      </c>
      <c r="BL19" s="87">
        <v>2.1</v>
      </c>
      <c r="BM19" s="87">
        <v>1.8</v>
      </c>
      <c r="BN19" s="89">
        <v>2</v>
      </c>
      <c r="BO19" s="87">
        <v>2.1</v>
      </c>
      <c r="BP19" s="89">
        <v>1</v>
      </c>
      <c r="BQ19" s="87">
        <v>2.6</v>
      </c>
      <c r="BR19" s="87">
        <v>1.8</v>
      </c>
      <c r="BS19" s="87">
        <v>1.7</v>
      </c>
      <c r="BT19" s="87">
        <v>2.2000000000000002</v>
      </c>
      <c r="BU19" s="87">
        <v>2.2000000000000002</v>
      </c>
      <c r="BV19" s="87">
        <v>1.8</v>
      </c>
      <c r="BW19" s="87">
        <v>1.2</v>
      </c>
      <c r="BX19" s="87">
        <v>2.4</v>
      </c>
      <c r="BY19" s="87">
        <v>1.8</v>
      </c>
      <c r="BZ19" s="87">
        <v>2.2000000000000002</v>
      </c>
      <c r="CA19" s="87">
        <v>2.1</v>
      </c>
      <c r="CB19" s="87">
        <v>1.7</v>
      </c>
      <c r="CC19" s="89">
        <v>2</v>
      </c>
      <c r="CD19" s="87">
        <v>2.2999999999999998</v>
      </c>
      <c r="CE19" s="87">
        <v>1.9</v>
      </c>
      <c r="CF19" s="87">
        <v>1.8</v>
      </c>
      <c r="CG19" s="87">
        <v>2.4</v>
      </c>
      <c r="CH19" s="87">
        <v>1.2</v>
      </c>
      <c r="CI19" s="87">
        <v>1.6</v>
      </c>
      <c r="CJ19" s="87">
        <v>2.2000000000000002</v>
      </c>
      <c r="CK19" s="87">
        <v>1.3</v>
      </c>
      <c r="CL19" s="89">
        <v>2</v>
      </c>
      <c r="CM19" s="89">
        <v>2.5</v>
      </c>
      <c r="CN19" s="89">
        <v>0.9</v>
      </c>
      <c r="CO19" s="89">
        <v>2.1</v>
      </c>
      <c r="CP19" s="89">
        <v>2.7</v>
      </c>
      <c r="CQ19" s="89">
        <v>1.7</v>
      </c>
      <c r="CR19" s="89">
        <v>2.2000000000000002</v>
      </c>
      <c r="CS19" s="89">
        <v>3.4</v>
      </c>
      <c r="CT19" s="89">
        <v>1.7</v>
      </c>
      <c r="CU19" s="89">
        <v>1.5</v>
      </c>
      <c r="CV19" s="89">
        <v>4</v>
      </c>
      <c r="CW19" s="89">
        <v>1.2</v>
      </c>
      <c r="CX19" s="89">
        <v>3.1</v>
      </c>
      <c r="CY19" s="89">
        <v>3.6</v>
      </c>
    </row>
    <row r="20" spans="1:103">
      <c r="A20" s="543" t="s">
        <v>178</v>
      </c>
      <c r="B20" s="87">
        <v>0.7</v>
      </c>
      <c r="C20" s="87">
        <v>2.1</v>
      </c>
      <c r="D20" s="87">
        <v>2.2000000000000002</v>
      </c>
      <c r="E20" s="87">
        <v>0.7</v>
      </c>
      <c r="F20" s="87">
        <v>2.2000000000000002</v>
      </c>
      <c r="G20" s="87">
        <v>1</v>
      </c>
      <c r="H20" s="87">
        <v>2</v>
      </c>
      <c r="I20" s="87">
        <v>1.4</v>
      </c>
      <c r="J20" s="87">
        <v>2.4</v>
      </c>
      <c r="K20" s="87">
        <v>2.1</v>
      </c>
      <c r="L20" s="87">
        <v>2.4</v>
      </c>
      <c r="M20" s="87">
        <v>3.4</v>
      </c>
      <c r="N20" s="89">
        <v>2</v>
      </c>
      <c r="O20" s="87">
        <v>3.5</v>
      </c>
      <c r="P20" s="87">
        <v>1.8</v>
      </c>
      <c r="Q20" s="88">
        <v>2.8</v>
      </c>
      <c r="R20" s="88">
        <v>2.5</v>
      </c>
      <c r="S20" s="88">
        <v>2.7</v>
      </c>
      <c r="T20" s="68">
        <v>3</v>
      </c>
      <c r="U20" s="88">
        <v>2.2000000000000002</v>
      </c>
      <c r="V20" s="88">
        <v>3.4</v>
      </c>
      <c r="W20" s="68">
        <v>1.9</v>
      </c>
      <c r="X20" s="88">
        <v>2.2000000000000002</v>
      </c>
      <c r="Y20" s="88">
        <v>4.0999999999999996</v>
      </c>
      <c r="Z20" s="68">
        <v>2.2000000000000002</v>
      </c>
      <c r="AA20" s="88">
        <v>2.6</v>
      </c>
      <c r="AB20" s="88">
        <v>2.4</v>
      </c>
      <c r="AC20" s="88">
        <v>3.1</v>
      </c>
      <c r="AD20" s="88">
        <v>2.8</v>
      </c>
      <c r="AE20" s="88">
        <v>2.9</v>
      </c>
      <c r="AF20" s="68">
        <v>2</v>
      </c>
      <c r="AG20" s="88">
        <v>3.3</v>
      </c>
      <c r="AH20" s="88">
        <v>1.6</v>
      </c>
      <c r="AI20" s="89">
        <v>2.5</v>
      </c>
      <c r="AJ20" s="89">
        <v>3.1</v>
      </c>
      <c r="AK20" s="89">
        <v>2.5</v>
      </c>
      <c r="AL20" s="89">
        <v>2.6</v>
      </c>
      <c r="AM20" s="89">
        <v>1.8</v>
      </c>
      <c r="AN20" s="89">
        <v>2.2999999999999998</v>
      </c>
      <c r="AO20" s="89">
        <v>2.8</v>
      </c>
      <c r="AP20" s="89">
        <v>1.4</v>
      </c>
      <c r="AQ20" s="89">
        <v>3.2</v>
      </c>
      <c r="AR20" s="89">
        <v>2.7</v>
      </c>
      <c r="AS20" s="89">
        <v>2.4</v>
      </c>
      <c r="AT20" s="89">
        <v>3.3</v>
      </c>
      <c r="AU20" s="87">
        <v>2.2000000000000002</v>
      </c>
      <c r="AV20" s="89">
        <v>3</v>
      </c>
      <c r="AW20" s="87">
        <v>3.2</v>
      </c>
      <c r="AX20" s="87">
        <v>2.2999999999999998</v>
      </c>
      <c r="AY20" s="87">
        <v>2.1</v>
      </c>
      <c r="AZ20" s="87">
        <v>2.2000000000000002</v>
      </c>
      <c r="BA20" s="87">
        <v>2.6</v>
      </c>
      <c r="BB20" s="87">
        <v>3.1</v>
      </c>
      <c r="BC20" s="87">
        <v>2.6</v>
      </c>
      <c r="BD20" s="87">
        <v>2.2000000000000002</v>
      </c>
      <c r="BE20" s="87">
        <v>4.0999999999999996</v>
      </c>
      <c r="BF20" s="87">
        <v>3.2</v>
      </c>
      <c r="BG20" s="87">
        <v>3.8</v>
      </c>
      <c r="BH20" s="87">
        <v>2.5</v>
      </c>
      <c r="BI20" s="89">
        <v>3</v>
      </c>
      <c r="BJ20" s="87">
        <v>3.1</v>
      </c>
      <c r="BK20" s="87">
        <v>1.9</v>
      </c>
      <c r="BL20" s="87">
        <v>2.7</v>
      </c>
      <c r="BM20" s="87">
        <v>3.1</v>
      </c>
      <c r="BN20" s="87">
        <v>2.8</v>
      </c>
      <c r="BO20" s="87">
        <v>3.1</v>
      </c>
      <c r="BP20" s="87">
        <v>1.6</v>
      </c>
      <c r="BQ20" s="87">
        <v>3.5</v>
      </c>
      <c r="BR20" s="87">
        <v>2.5</v>
      </c>
      <c r="BS20" s="87">
        <v>2.7</v>
      </c>
      <c r="BT20" s="87">
        <v>3.1</v>
      </c>
      <c r="BU20" s="87">
        <v>3.3</v>
      </c>
      <c r="BV20" s="87">
        <v>2.2000000000000002</v>
      </c>
      <c r="BW20" s="87">
        <v>1.3</v>
      </c>
      <c r="BX20" s="87">
        <v>2.8</v>
      </c>
      <c r="BY20" s="87">
        <v>2.1</v>
      </c>
      <c r="BZ20" s="87">
        <v>2.5</v>
      </c>
      <c r="CA20" s="87">
        <v>2.7</v>
      </c>
      <c r="CB20" s="87">
        <v>2.4</v>
      </c>
      <c r="CC20" s="87">
        <v>2.9</v>
      </c>
      <c r="CD20" s="87">
        <v>4.0999999999999996</v>
      </c>
      <c r="CE20" s="87">
        <v>3.1</v>
      </c>
      <c r="CF20" s="87">
        <v>3.3</v>
      </c>
      <c r="CG20" s="89">
        <v>4</v>
      </c>
      <c r="CH20" s="87">
        <v>1.7</v>
      </c>
      <c r="CI20" s="87">
        <v>2.2999999999999998</v>
      </c>
      <c r="CJ20" s="87">
        <v>3.3</v>
      </c>
      <c r="CK20" s="87">
        <v>1.8</v>
      </c>
      <c r="CL20" s="87">
        <v>2.5</v>
      </c>
      <c r="CM20" s="87">
        <v>3.3</v>
      </c>
      <c r="CN20" s="87">
        <v>1.1000000000000001</v>
      </c>
      <c r="CO20" s="87">
        <v>2.9</v>
      </c>
      <c r="CP20" s="87">
        <v>3.2</v>
      </c>
      <c r="CQ20" s="87">
        <v>1.4</v>
      </c>
      <c r="CR20" s="87">
        <v>2.1</v>
      </c>
      <c r="CS20" s="87">
        <v>2.9</v>
      </c>
      <c r="CT20" s="87">
        <v>0.5</v>
      </c>
      <c r="CU20" s="87">
        <v>0.8</v>
      </c>
      <c r="CV20" s="87">
        <v>2.6</v>
      </c>
      <c r="CW20" s="87">
        <v>0.7</v>
      </c>
      <c r="CX20" s="87">
        <v>2.1</v>
      </c>
      <c r="CY20" s="87">
        <v>2.2999999999999998</v>
      </c>
    </row>
    <row r="21" spans="1:103" ht="13.5">
      <c r="A21"/>
      <c r="B21" s="96"/>
      <c r="C21" s="96"/>
      <c r="D21" s="96"/>
      <c r="E21" s="96"/>
      <c r="F21" s="96"/>
      <c r="G21" s="96"/>
      <c r="H21" s="96"/>
      <c r="I21" s="96"/>
      <c r="J21" s="96"/>
      <c r="K21" s="96"/>
      <c r="L21" s="96"/>
      <c r="M21" s="96"/>
      <c r="N21" s="96"/>
      <c r="O21" s="96"/>
      <c r="P21" s="96"/>
      <c r="Q21" s="96"/>
      <c r="R21" s="96"/>
      <c r="S21" s="96"/>
      <c r="T21" s="96"/>
      <c r="U21" s="96"/>
      <c r="V21" s="96"/>
    </row>
    <row r="22" spans="1:103">
      <c r="A22" s="95" t="s">
        <v>342</v>
      </c>
      <c r="B22" s="96"/>
      <c r="C22" s="96"/>
      <c r="D22" s="96"/>
      <c r="E22" s="96"/>
      <c r="F22" s="96"/>
      <c r="G22" s="96"/>
      <c r="H22" s="96"/>
      <c r="I22" s="96"/>
      <c r="J22" s="96"/>
      <c r="K22" s="96"/>
      <c r="L22" s="96"/>
      <c r="M22" s="96"/>
      <c r="N22" s="96"/>
      <c r="O22" s="96"/>
      <c r="P22" s="96"/>
      <c r="Q22" s="96"/>
      <c r="R22" s="96"/>
      <c r="T22" s="96"/>
      <c r="U22" s="96"/>
    </row>
  </sheetData>
  <pageMargins left="0.70866141732283472" right="0.70866141732283472" top="0.74803149606299213" bottom="0.74803149606299213" header="0.31496062992125984" footer="0.31496062992125984"/>
  <pageSetup paperSize="8" scale="50" orientation="landscape" r:id="rId1"/>
  <ignoredErrors>
    <ignoredError sqref="F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30E40-6BB8-46D2-9952-8B6B9275EAEA}">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663C-3C2C-4DC2-95F6-E36EBD7D5579}">
  <dimension ref="C20:M24"/>
  <sheetViews>
    <sheetView showGridLines="0" tabSelected="1" zoomScale="93" zoomScaleNormal="93" workbookViewId="0">
      <selection activeCell="S11" sqref="S11"/>
    </sheetView>
  </sheetViews>
  <sheetFormatPr defaultRowHeight="12.75"/>
  <cols>
    <col min="13" max="13" width="13.140625" customWidth="1"/>
  </cols>
  <sheetData>
    <row r="20" spans="3:13" ht="13.5" thickBot="1"/>
    <row r="21" spans="3:13" ht="128.25" customHeight="1" thickBot="1">
      <c r="C21" s="556" t="s">
        <v>89</v>
      </c>
      <c r="D21" s="557"/>
      <c r="E21" s="557"/>
      <c r="F21" s="557"/>
      <c r="G21" s="557"/>
      <c r="H21" s="557"/>
      <c r="I21" s="557"/>
      <c r="J21" s="557"/>
      <c r="K21" s="557"/>
      <c r="L21" s="557"/>
      <c r="M21" s="558"/>
    </row>
    <row r="22" spans="3:13" ht="23.25" customHeight="1"/>
    <row r="23" spans="3:13" ht="33.75" customHeight="1" thickBot="1"/>
    <row r="24" spans="3:13" ht="133.5" customHeight="1" thickBot="1">
      <c r="C24" s="559" t="s">
        <v>90</v>
      </c>
      <c r="D24" s="560"/>
      <c r="E24" s="560"/>
      <c r="F24" s="560"/>
      <c r="G24" s="560"/>
      <c r="H24" s="560"/>
      <c r="I24" s="560"/>
      <c r="J24" s="560"/>
      <c r="K24" s="560"/>
      <c r="L24" s="560"/>
      <c r="M24" s="561"/>
    </row>
  </sheetData>
  <mergeCells count="2">
    <mergeCell ref="C21:M21"/>
    <mergeCell ref="C24:M24"/>
  </mergeCells>
  <pageMargins left="0.70866141732283472" right="0.70866141732283472" top="0.74803149606299213" bottom="0.74803149606299213" header="0.31496062992125984" footer="0.31496062992125984"/>
  <pageSetup paperSize="9"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D3D9-9F9D-4C2B-B683-052ADC0C4F84}">
  <sheetPr>
    <pageSetUpPr fitToPage="1"/>
  </sheetPr>
  <dimension ref="A2:BS76"/>
  <sheetViews>
    <sheetView showGridLines="0" zoomScale="130" zoomScaleNormal="130" zoomScaleSheetLayoutView="100" workbookViewId="0">
      <pane xSplit="3" ySplit="10" topLeftCell="V73" activePane="bottomRight" state="frozen"/>
      <selection pane="topRight" activeCell="D1" sqref="D1"/>
      <selection pane="bottomLeft" activeCell="A5" sqref="A5"/>
      <selection pane="bottomRight" activeCell="AC21" sqref="AC21"/>
    </sheetView>
  </sheetViews>
  <sheetFormatPr defaultColWidth="8.5703125" defaultRowHeight="11.25"/>
  <cols>
    <col min="1" max="1" width="3.42578125" style="267" customWidth="1"/>
    <col min="2" max="2" width="54.42578125" style="267" customWidth="1"/>
    <col min="3" max="3" width="1" style="267" customWidth="1"/>
    <col min="4" max="8" width="9" style="267" customWidth="1"/>
    <col min="9" max="9" width="1" style="267" customWidth="1"/>
    <col min="10" max="14" width="9.42578125" style="267" customWidth="1"/>
    <col min="15" max="15" width="1" style="267" customWidth="1"/>
    <col min="16" max="20" width="9.42578125" style="267" customWidth="1"/>
    <col min="21" max="21" width="1" style="267" customWidth="1"/>
    <col min="22" max="26" width="8.85546875" style="267" customWidth="1"/>
    <col min="27" max="27" width="1" style="267" customWidth="1"/>
    <col min="28" max="32" width="9.42578125" style="267" customWidth="1"/>
    <col min="33" max="33" width="1" style="267" customWidth="1"/>
    <col min="34" max="34" width="7.5703125" style="267" customWidth="1"/>
    <col min="35" max="36" width="7.5703125" style="249" customWidth="1"/>
    <col min="37" max="38" width="7.5703125" style="267" customWidth="1"/>
    <col min="39" max="39" width="7.5703125" style="51" customWidth="1"/>
    <col min="40" max="40" width="8.5703125" style="51"/>
    <col min="41" max="41" width="8.5703125" style="267"/>
    <col min="42" max="48" width="8.5703125" style="250"/>
    <col min="49" max="70" width="8.5703125" style="204"/>
    <col min="71" max="16384" width="8.5703125" style="267"/>
  </cols>
  <sheetData>
    <row r="2" spans="1:70" s="247" customFormat="1" ht="23.25">
      <c r="A2" s="246"/>
      <c r="B2" s="484" t="s">
        <v>91</v>
      </c>
      <c r="C2" s="5"/>
      <c r="I2" s="248"/>
      <c r="O2" s="248"/>
      <c r="U2" s="248"/>
      <c r="AA2" s="248"/>
      <c r="AG2" s="248"/>
      <c r="AI2" s="249"/>
      <c r="AJ2" s="249"/>
      <c r="AM2" s="52"/>
      <c r="AN2" s="52"/>
      <c r="AP2" s="250"/>
      <c r="AQ2" s="250"/>
      <c r="AR2" s="250"/>
      <c r="AS2" s="250"/>
      <c r="AT2" s="250"/>
      <c r="AU2" s="250"/>
      <c r="AV2" s="250"/>
      <c r="AW2" s="204"/>
      <c r="AX2" s="204"/>
      <c r="AY2" s="204"/>
      <c r="AZ2" s="204"/>
      <c r="BA2" s="204"/>
      <c r="BB2" s="204"/>
      <c r="BC2" s="204"/>
      <c r="BD2" s="204"/>
      <c r="BE2" s="204"/>
      <c r="BF2" s="204"/>
      <c r="BG2" s="204"/>
      <c r="BH2" s="204"/>
      <c r="BI2" s="204"/>
      <c r="BJ2" s="204"/>
      <c r="BK2" s="204"/>
      <c r="BL2" s="204"/>
      <c r="BM2" s="204"/>
      <c r="BN2" s="204"/>
      <c r="BO2" s="204"/>
      <c r="BP2" s="204"/>
      <c r="BQ2" s="204"/>
      <c r="BR2" s="204"/>
    </row>
    <row r="3" spans="1:70" s="247" customFormat="1" ht="15">
      <c r="A3" s="246"/>
      <c r="B3" s="5"/>
      <c r="C3" s="5"/>
      <c r="I3" s="248"/>
      <c r="O3" s="248"/>
      <c r="U3" s="248"/>
      <c r="AA3" s="248"/>
      <c r="AG3" s="248"/>
      <c r="AI3" s="249"/>
      <c r="AJ3" s="249"/>
      <c r="AM3" s="52"/>
      <c r="AN3" s="52"/>
      <c r="AP3" s="250"/>
      <c r="AQ3" s="250"/>
      <c r="AR3" s="250"/>
      <c r="AS3" s="250"/>
      <c r="AT3" s="250"/>
      <c r="AU3" s="250"/>
      <c r="AV3" s="250"/>
      <c r="AW3" s="204"/>
      <c r="AX3" s="204"/>
      <c r="AY3" s="204"/>
      <c r="AZ3" s="204"/>
      <c r="BA3" s="204"/>
      <c r="BB3" s="204"/>
      <c r="BC3" s="204"/>
      <c r="BD3" s="204"/>
      <c r="BE3" s="204"/>
      <c r="BF3" s="204"/>
      <c r="BG3" s="204"/>
      <c r="BH3" s="204"/>
      <c r="BI3" s="204"/>
      <c r="BJ3" s="204"/>
      <c r="BK3" s="204"/>
      <c r="BL3" s="204"/>
      <c r="BM3" s="204"/>
      <c r="BN3" s="204"/>
      <c r="BO3" s="204"/>
      <c r="BP3" s="204"/>
      <c r="BQ3" s="204"/>
      <c r="BR3" s="204"/>
    </row>
    <row r="4" spans="1:70" s="250" customFormat="1" ht="12" customHeight="1">
      <c r="B4" s="246" t="s">
        <v>92</v>
      </c>
      <c r="C4" s="246"/>
      <c r="D4" s="251" t="s">
        <v>0</v>
      </c>
      <c r="E4" s="251" t="s">
        <v>1</v>
      </c>
      <c r="F4" s="251" t="s">
        <v>2</v>
      </c>
      <c r="G4" s="251" t="s">
        <v>3</v>
      </c>
      <c r="H4" s="251">
        <v>2014</v>
      </c>
      <c r="I4" s="252"/>
      <c r="J4" s="251" t="s">
        <v>4</v>
      </c>
      <c r="K4" s="251" t="s">
        <v>5</v>
      </c>
      <c r="L4" s="251" t="s">
        <v>6</v>
      </c>
      <c r="M4" s="251" t="s">
        <v>7</v>
      </c>
      <c r="N4" s="251">
        <v>2015</v>
      </c>
      <c r="O4" s="253"/>
      <c r="P4" s="251" t="s">
        <v>8</v>
      </c>
      <c r="Q4" s="251" t="s">
        <v>9</v>
      </c>
      <c r="R4" s="251" t="s">
        <v>10</v>
      </c>
      <c r="S4" s="251" t="s">
        <v>11</v>
      </c>
      <c r="T4" s="251">
        <v>2016</v>
      </c>
      <c r="U4" s="254"/>
      <c r="V4" s="251" t="s">
        <v>16</v>
      </c>
      <c r="W4" s="251" t="s">
        <v>17</v>
      </c>
      <c r="X4" s="251" t="s">
        <v>20</v>
      </c>
      <c r="Y4" s="251" t="s">
        <v>21</v>
      </c>
      <c r="Z4" s="251">
        <v>2017</v>
      </c>
      <c r="AA4" s="253"/>
      <c r="AB4" s="251" t="s">
        <v>27</v>
      </c>
      <c r="AC4" s="251" t="s">
        <v>29</v>
      </c>
      <c r="AD4" s="251" t="s">
        <v>30</v>
      </c>
      <c r="AE4" s="251" t="s">
        <v>33</v>
      </c>
      <c r="AF4" s="251">
        <v>2018</v>
      </c>
      <c r="AG4" s="254"/>
      <c r="AH4" s="251" t="s">
        <v>35</v>
      </c>
      <c r="AI4" s="251" t="s">
        <v>36</v>
      </c>
      <c r="AJ4" s="251" t="s">
        <v>39</v>
      </c>
      <c r="AK4" s="251" t="s">
        <v>40</v>
      </c>
      <c r="AL4" s="251">
        <v>2019</v>
      </c>
      <c r="AM4" s="53" t="s">
        <v>41</v>
      </c>
      <c r="AN4" s="53" t="s">
        <v>42</v>
      </c>
      <c r="AO4" s="53" t="s">
        <v>43</v>
      </c>
      <c r="AP4" s="251" t="s">
        <v>44</v>
      </c>
      <c r="AQ4" s="251">
        <v>2020</v>
      </c>
      <c r="AR4" s="251" t="s">
        <v>47</v>
      </c>
      <c r="AS4" s="251" t="s">
        <v>48</v>
      </c>
      <c r="AT4" s="251" t="s">
        <v>49</v>
      </c>
      <c r="AU4" s="251" t="s">
        <v>50</v>
      </c>
      <c r="AV4" s="251">
        <v>2021</v>
      </c>
      <c r="AW4" s="53" t="s">
        <v>51</v>
      </c>
      <c r="AX4" s="53" t="s">
        <v>52</v>
      </c>
      <c r="AY4" s="53" t="s">
        <v>53</v>
      </c>
      <c r="AZ4" s="53" t="s">
        <v>54</v>
      </c>
      <c r="BA4" s="53">
        <v>2022</v>
      </c>
      <c r="BB4" s="53" t="s">
        <v>55</v>
      </c>
      <c r="BC4" s="53" t="s">
        <v>56</v>
      </c>
      <c r="BD4" s="53" t="s">
        <v>57</v>
      </c>
      <c r="BE4" s="53" t="s">
        <v>61</v>
      </c>
      <c r="BF4" s="53">
        <v>2023</v>
      </c>
      <c r="BG4" s="53" t="s">
        <v>64</v>
      </c>
      <c r="BH4" s="53" t="s">
        <v>68</v>
      </c>
      <c r="BI4" s="53" t="s">
        <v>70</v>
      </c>
      <c r="BJ4" s="53" t="s">
        <v>72</v>
      </c>
      <c r="BK4" s="53">
        <v>2024</v>
      </c>
      <c r="BL4" s="53" t="s">
        <v>76</v>
      </c>
      <c r="BM4" s="53" t="s">
        <v>79</v>
      </c>
      <c r="BN4" s="53" t="s">
        <v>81</v>
      </c>
      <c r="BO4" s="53" t="s">
        <v>83</v>
      </c>
      <c r="BP4" s="53">
        <v>2025</v>
      </c>
      <c r="BQ4" s="53" t="s">
        <v>86</v>
      </c>
      <c r="BR4" s="53" t="s">
        <v>88</v>
      </c>
    </row>
    <row r="5" spans="1:70" s="250" customFormat="1" ht="12" customHeight="1">
      <c r="B5" s="485" t="s">
        <v>93</v>
      </c>
      <c r="C5" s="255"/>
      <c r="D5" s="256">
        <v>7041</v>
      </c>
      <c r="E5" s="257">
        <v>6787</v>
      </c>
      <c r="F5" s="257">
        <v>6994</v>
      </c>
      <c r="G5" s="257">
        <v>6624</v>
      </c>
      <c r="H5" s="257">
        <v>6862</v>
      </c>
      <c r="I5" s="258"/>
      <c r="J5" s="257">
        <v>5818</v>
      </c>
      <c r="K5" s="257">
        <v>6043</v>
      </c>
      <c r="L5" s="257">
        <v>5259</v>
      </c>
      <c r="M5" s="257">
        <v>4892</v>
      </c>
      <c r="N5" s="257">
        <v>5495</v>
      </c>
      <c r="O5" s="258"/>
      <c r="P5" s="257">
        <v>4672</v>
      </c>
      <c r="Q5" s="257">
        <v>4729</v>
      </c>
      <c r="R5" s="257">
        <v>4772</v>
      </c>
      <c r="S5" s="257">
        <v>5277</v>
      </c>
      <c r="T5" s="257">
        <v>4863</v>
      </c>
      <c r="U5" s="258"/>
      <c r="V5" s="257">
        <v>5831</v>
      </c>
      <c r="W5" s="257">
        <v>5662</v>
      </c>
      <c r="X5" s="257">
        <v>6349</v>
      </c>
      <c r="Y5" s="257">
        <v>6808</v>
      </c>
      <c r="Z5" s="257">
        <v>6166</v>
      </c>
      <c r="AA5" s="258"/>
      <c r="AB5" s="257">
        <v>6961</v>
      </c>
      <c r="AC5" s="257">
        <v>6872</v>
      </c>
      <c r="AD5" s="257">
        <v>6105</v>
      </c>
      <c r="AE5" s="257">
        <v>6172</v>
      </c>
      <c r="AF5" s="257">
        <v>6523</v>
      </c>
      <c r="AG5" s="258"/>
      <c r="AH5" s="257">
        <v>6214.92</v>
      </c>
      <c r="AI5" s="35">
        <v>6113</v>
      </c>
      <c r="AJ5" s="35">
        <v>5802</v>
      </c>
      <c r="AK5" s="35">
        <v>5881</v>
      </c>
      <c r="AL5" s="35">
        <v>5881</v>
      </c>
      <c r="AM5" s="35">
        <v>5637</v>
      </c>
      <c r="AN5" s="35">
        <v>5356</v>
      </c>
      <c r="AO5" s="35">
        <v>6519</v>
      </c>
      <c r="AP5" s="259">
        <v>7166.453125</v>
      </c>
      <c r="AQ5" s="259">
        <v>6180.6259842519685</v>
      </c>
      <c r="AR5" s="259">
        <v>8504</v>
      </c>
      <c r="AS5" s="259">
        <v>9700</v>
      </c>
      <c r="AT5" s="259">
        <v>9371.8384615384621</v>
      </c>
      <c r="AU5" s="259">
        <v>9699.15</v>
      </c>
      <c r="AV5" s="259">
        <v>9317.49</v>
      </c>
      <c r="AW5" s="259">
        <v>9997</v>
      </c>
      <c r="AX5" s="259">
        <v>9512.6833333333325</v>
      </c>
      <c r="AY5" s="259">
        <v>7745.0846153846151</v>
      </c>
      <c r="AZ5" s="259">
        <v>8001</v>
      </c>
      <c r="BA5" s="259">
        <v>8797</v>
      </c>
      <c r="BB5" s="259">
        <v>8927</v>
      </c>
      <c r="BC5" s="259">
        <v>8464</v>
      </c>
      <c r="BD5" s="259">
        <v>8355.8984375</v>
      </c>
      <c r="BE5" s="259">
        <v>8158</v>
      </c>
      <c r="BF5" s="259">
        <v>8477.7709163346608</v>
      </c>
      <c r="BG5" s="259">
        <v>8438</v>
      </c>
      <c r="BH5" s="259">
        <v>9753</v>
      </c>
      <c r="BI5" s="259">
        <v>9209.7615384615383</v>
      </c>
      <c r="BJ5" s="259">
        <v>9193.1796875</v>
      </c>
      <c r="BK5" s="259">
        <v>9146.7874015748039</v>
      </c>
      <c r="BL5" s="259">
        <v>9340.3809523809523</v>
      </c>
      <c r="BM5" s="259">
        <v>9524</v>
      </c>
      <c r="BN5" s="259">
        <v>9796.5538461538454</v>
      </c>
      <c r="BO5" s="259">
        <v>11092.2421875</v>
      </c>
      <c r="BP5" s="259">
        <v>9944.9407114624501</v>
      </c>
      <c r="BQ5" s="259">
        <v>12844.452380952382</v>
      </c>
      <c r="BR5" s="477">
        <v>13329</v>
      </c>
    </row>
    <row r="6" spans="1:70" s="250" customFormat="1" ht="12" customHeight="1">
      <c r="B6" s="485" t="s">
        <v>94</v>
      </c>
      <c r="C6" s="255"/>
      <c r="D6" s="22">
        <v>20.48</v>
      </c>
      <c r="E6" s="23">
        <v>19.62</v>
      </c>
      <c r="F6" s="23">
        <v>19.760000000000002</v>
      </c>
      <c r="G6" s="23">
        <v>16.5</v>
      </c>
      <c r="H6" s="23">
        <v>19.079999999999998</v>
      </c>
      <c r="I6" s="260"/>
      <c r="J6" s="23">
        <v>16.71</v>
      </c>
      <c r="K6" s="23">
        <v>16.39</v>
      </c>
      <c r="L6" s="23">
        <v>14.91</v>
      </c>
      <c r="M6" s="23">
        <v>14.77</v>
      </c>
      <c r="N6" s="23">
        <v>15.68</v>
      </c>
      <c r="O6" s="260"/>
      <c r="P6" s="23">
        <v>14.85</v>
      </c>
      <c r="Q6" s="23">
        <v>16.78</v>
      </c>
      <c r="R6" s="23">
        <v>19.61</v>
      </c>
      <c r="S6" s="23">
        <v>17.190000000000001</v>
      </c>
      <c r="T6" s="23">
        <v>17.14</v>
      </c>
      <c r="U6" s="260"/>
      <c r="V6" s="23">
        <v>17.420000000000002</v>
      </c>
      <c r="W6" s="23">
        <v>17.21</v>
      </c>
      <c r="X6" s="23">
        <v>16.84</v>
      </c>
      <c r="Y6" s="23">
        <v>16.73</v>
      </c>
      <c r="Z6" s="23">
        <v>17.05</v>
      </c>
      <c r="AA6" s="260"/>
      <c r="AB6" s="23">
        <v>16.77</v>
      </c>
      <c r="AC6" s="23">
        <v>16.53</v>
      </c>
      <c r="AD6" s="23">
        <v>15.02</v>
      </c>
      <c r="AE6" s="23">
        <v>14.54</v>
      </c>
      <c r="AF6" s="23">
        <v>15.71</v>
      </c>
      <c r="AG6" s="260"/>
      <c r="AH6" s="23">
        <v>15.57</v>
      </c>
      <c r="AI6" s="36">
        <v>14.88</v>
      </c>
      <c r="AJ6" s="36">
        <v>16.98</v>
      </c>
      <c r="AK6" s="36">
        <v>17.32</v>
      </c>
      <c r="AL6" s="36">
        <v>17.32</v>
      </c>
      <c r="AM6" s="36">
        <v>16.899999999999999</v>
      </c>
      <c r="AN6" s="36">
        <v>16.38</v>
      </c>
      <c r="AO6" s="36">
        <v>24.26</v>
      </c>
      <c r="AP6" s="261">
        <v>24.390000000000004</v>
      </c>
      <c r="AQ6" s="261">
        <v>20.544999995275585</v>
      </c>
      <c r="AR6" s="261">
        <v>26.26</v>
      </c>
      <c r="AS6" s="261">
        <v>26.69</v>
      </c>
      <c r="AT6" s="261">
        <v>24.364076923076926</v>
      </c>
      <c r="AU6" s="261">
        <v>23.333984375</v>
      </c>
      <c r="AV6" s="261">
        <v>25.135592885375495</v>
      </c>
      <c r="AW6" s="261">
        <v>24.01</v>
      </c>
      <c r="AX6" s="261">
        <v>22.60100001999999</v>
      </c>
      <c r="AY6" s="261">
        <v>19.228906250000001</v>
      </c>
      <c r="AZ6" s="261">
        <v>21.17</v>
      </c>
      <c r="BA6" s="261">
        <v>21.73</v>
      </c>
      <c r="BB6" s="261">
        <v>22.55</v>
      </c>
      <c r="BC6" s="261">
        <v>24.13</v>
      </c>
      <c r="BD6" s="261">
        <v>23.570625</v>
      </c>
      <c r="BE6" s="261">
        <v>23.196269841269842</v>
      </c>
      <c r="BF6" s="261">
        <v>23.349462151394427</v>
      </c>
      <c r="BG6" s="261">
        <v>23.34</v>
      </c>
      <c r="BH6" s="261">
        <v>28.84</v>
      </c>
      <c r="BI6" s="261">
        <v>29.434000000000005</v>
      </c>
      <c r="BJ6" s="261">
        <v>31.383515625000005</v>
      </c>
      <c r="BK6" s="261">
        <v>28.268838582677148</v>
      </c>
      <c r="BL6" s="261">
        <v>31.88214285714286</v>
      </c>
      <c r="BM6" s="261">
        <v>33.68</v>
      </c>
      <c r="BN6" s="261">
        <v>39.399846153846156</v>
      </c>
      <c r="BO6" s="261">
        <v>54.72859374999998</v>
      </c>
      <c r="BP6" s="261">
        <v>40.025217381818159</v>
      </c>
      <c r="BQ6" s="261">
        <v>84.325396825396808</v>
      </c>
      <c r="BR6" s="478">
        <v>73.150000000000006</v>
      </c>
    </row>
    <row r="7" spans="1:70" s="250" customFormat="1" ht="12" customHeight="1">
      <c r="B7" s="485" t="s">
        <v>95</v>
      </c>
      <c r="C7" s="255"/>
      <c r="D7" s="22">
        <v>3.06</v>
      </c>
      <c r="E7" s="23">
        <v>3.04</v>
      </c>
      <c r="F7" s="23">
        <v>3.15</v>
      </c>
      <c r="G7" s="23">
        <v>3.37</v>
      </c>
      <c r="H7" s="23">
        <v>3.15</v>
      </c>
      <c r="I7" s="260"/>
      <c r="J7" s="23">
        <v>3.73</v>
      </c>
      <c r="K7" s="23">
        <v>3.7</v>
      </c>
      <c r="L7" s="23">
        <v>3.77</v>
      </c>
      <c r="M7" s="23">
        <v>3.89</v>
      </c>
      <c r="N7" s="23">
        <v>3.77</v>
      </c>
      <c r="O7" s="260"/>
      <c r="P7" s="23">
        <v>3.96</v>
      </c>
      <c r="Q7" s="23">
        <v>3.87</v>
      </c>
      <c r="R7" s="23">
        <v>3.89</v>
      </c>
      <c r="S7" s="23">
        <v>4.0599999999999996</v>
      </c>
      <c r="T7" s="23">
        <v>3.94</v>
      </c>
      <c r="U7" s="260"/>
      <c r="V7" s="23">
        <v>4.0584828125000003</v>
      </c>
      <c r="W7" s="23">
        <v>3.8306918032786883</v>
      </c>
      <c r="X7" s="23">
        <v>3.63</v>
      </c>
      <c r="Y7" s="23">
        <v>3.6</v>
      </c>
      <c r="Z7" s="23">
        <v>3.78</v>
      </c>
      <c r="AA7" s="260"/>
      <c r="AB7" s="23">
        <v>3.4009</v>
      </c>
      <c r="AC7" s="23">
        <v>3.58</v>
      </c>
      <c r="AD7" s="23">
        <v>3.7</v>
      </c>
      <c r="AE7" s="23">
        <v>3.78</v>
      </c>
      <c r="AF7" s="23">
        <v>3.6227</v>
      </c>
      <c r="AG7" s="260"/>
      <c r="AH7" s="23">
        <v>3.7883</v>
      </c>
      <c r="AI7" s="36">
        <v>3.81</v>
      </c>
      <c r="AJ7" s="36">
        <v>3.88</v>
      </c>
      <c r="AK7" s="36">
        <v>3.8439999999999999</v>
      </c>
      <c r="AL7" s="36">
        <v>3.8439999999999999</v>
      </c>
      <c r="AM7" s="36">
        <v>3.92</v>
      </c>
      <c r="AN7" s="36">
        <v>4.09</v>
      </c>
      <c r="AO7" s="36">
        <v>3.8</v>
      </c>
      <c r="AP7" s="261">
        <v>3.7803515625000008</v>
      </c>
      <c r="AQ7" s="261">
        <v>3.8978243137254918</v>
      </c>
      <c r="AR7" s="261">
        <v>3.78</v>
      </c>
      <c r="AS7" s="261">
        <v>3.76</v>
      </c>
      <c r="AT7" s="261">
        <v>3.8739560606060612</v>
      </c>
      <c r="AU7" s="261">
        <v>4.0420671874999989</v>
      </c>
      <c r="AV7" s="261">
        <v>3.86466771653543</v>
      </c>
      <c r="AW7" s="261">
        <v>4.1260000000000003</v>
      </c>
      <c r="AX7" s="261">
        <v>4.3596661290322585</v>
      </c>
      <c r="AY7" s="261">
        <v>4.7139492307692299</v>
      </c>
      <c r="AZ7" s="261">
        <v>4.6399999999999997</v>
      </c>
      <c r="BA7" s="261">
        <v>4.46</v>
      </c>
      <c r="BB7" s="261">
        <v>4.3899999999999997</v>
      </c>
      <c r="BC7" s="261">
        <v>4.17</v>
      </c>
      <c r="BD7" s="261">
        <v>4.1359953125000004</v>
      </c>
      <c r="BE7" s="261">
        <v>4.1113225806451625</v>
      </c>
      <c r="BF7" s="261">
        <v>4.2030075697211204</v>
      </c>
      <c r="BG7" s="261">
        <v>3.9921500000000001</v>
      </c>
      <c r="BH7" s="261">
        <v>4</v>
      </c>
      <c r="BI7" s="261">
        <v>3.9009953846153853</v>
      </c>
      <c r="BJ7" s="261">
        <v>4.0349483870967733</v>
      </c>
      <c r="BK7" s="261">
        <v>3.9799075396825372</v>
      </c>
      <c r="BL7" s="261">
        <v>3.9931322580645157</v>
      </c>
      <c r="BM7" s="261">
        <v>3.76</v>
      </c>
      <c r="BN7" s="261">
        <v>3.6448830769230778</v>
      </c>
      <c r="BO7" s="261">
        <v>3.6432403225806445</v>
      </c>
      <c r="BP7" s="261">
        <v>3.7587880478087632</v>
      </c>
      <c r="BQ7" s="261">
        <v>3.6198887096774199</v>
      </c>
      <c r="BR7" s="478">
        <v>3.66</v>
      </c>
    </row>
    <row r="8" spans="1:70" s="250" customFormat="1" ht="12" customHeight="1">
      <c r="B8" s="485" t="s">
        <v>96</v>
      </c>
      <c r="C8" s="255"/>
      <c r="D8" s="22">
        <v>3.0344000000000002</v>
      </c>
      <c r="E8" s="23">
        <v>3.0472999999999999</v>
      </c>
      <c r="F8" s="23">
        <v>3.2972999999999999</v>
      </c>
      <c r="G8" s="23">
        <v>3.5072000000000001</v>
      </c>
      <c r="H8" s="23">
        <f>+G8</f>
        <v>3.5072000000000001</v>
      </c>
      <c r="I8" s="260"/>
      <c r="J8" s="23">
        <v>3.8125</v>
      </c>
      <c r="K8" s="23">
        <v>3.7645</v>
      </c>
      <c r="L8" s="23">
        <v>3.7753999999999999</v>
      </c>
      <c r="M8" s="23">
        <v>3.9011</v>
      </c>
      <c r="N8" s="23">
        <f>+M8</f>
        <v>3.9011</v>
      </c>
      <c r="O8" s="260"/>
      <c r="P8" s="23">
        <v>3.7589999999999999</v>
      </c>
      <c r="Q8" s="23">
        <v>3.9803000000000002</v>
      </c>
      <c r="R8" s="23">
        <v>3.8557999999999999</v>
      </c>
      <c r="S8" s="23">
        <v>4.1792999999999996</v>
      </c>
      <c r="T8" s="23">
        <f>+S8</f>
        <v>4.1792999999999996</v>
      </c>
      <c r="U8" s="260"/>
      <c r="V8" s="23">
        <v>3.95</v>
      </c>
      <c r="W8" s="23">
        <v>3.71</v>
      </c>
      <c r="X8" s="23">
        <v>3.65</v>
      </c>
      <c r="Y8" s="23">
        <v>3.48</v>
      </c>
      <c r="Z8" s="23">
        <v>3.48</v>
      </c>
      <c r="AA8" s="260"/>
      <c r="AB8" s="23">
        <v>3.4138999999999999</v>
      </c>
      <c r="AC8" s="23">
        <v>3.74</v>
      </c>
      <c r="AD8" s="23">
        <v>3.68</v>
      </c>
      <c r="AE8" s="23">
        <v>3.7597</v>
      </c>
      <c r="AF8" s="23">
        <v>3.7597</v>
      </c>
      <c r="AG8" s="260"/>
      <c r="AH8" s="23">
        <v>3.8365</v>
      </c>
      <c r="AI8" s="36">
        <v>3.73</v>
      </c>
      <c r="AJ8" s="36">
        <v>4</v>
      </c>
      <c r="AK8" s="36">
        <v>3.7976999999999999</v>
      </c>
      <c r="AL8" s="36">
        <v>3.7976999999999999</v>
      </c>
      <c r="AM8" s="36">
        <v>4.1500000000000004</v>
      </c>
      <c r="AN8" s="36">
        <v>3.98</v>
      </c>
      <c r="AO8" s="36">
        <v>3.87</v>
      </c>
      <c r="AP8" s="261">
        <v>3.7584</v>
      </c>
      <c r="AQ8" s="261">
        <v>3.7584</v>
      </c>
      <c r="AR8" s="261">
        <v>3.97</v>
      </c>
      <c r="AS8" s="261">
        <v>3.8</v>
      </c>
      <c r="AT8" s="261">
        <v>3.9925000000000002</v>
      </c>
      <c r="AU8" s="261">
        <v>4.0599999999999996</v>
      </c>
      <c r="AV8" s="261">
        <v>4.0599999999999996</v>
      </c>
      <c r="AW8" s="261">
        <v>4.1801000000000004</v>
      </c>
      <c r="AX8" s="261">
        <v>4.4824999999999999</v>
      </c>
      <c r="AY8" s="261">
        <v>4.9532999999999996</v>
      </c>
      <c r="AZ8" s="261">
        <v>4.4000000000000004</v>
      </c>
      <c r="BA8" s="261">
        <v>4.4000000000000004</v>
      </c>
      <c r="BB8" s="261">
        <v>4.29</v>
      </c>
      <c r="BC8" s="261">
        <v>4.1100000000000003</v>
      </c>
      <c r="BD8" s="261">
        <v>4.3696999999999999</v>
      </c>
      <c r="BE8" s="261">
        <v>3.9350000000000001</v>
      </c>
      <c r="BF8" s="261">
        <v>3.9350000000000001</v>
      </c>
      <c r="BG8" s="261">
        <v>3.9885999999999999</v>
      </c>
      <c r="BH8" s="261">
        <v>4.03</v>
      </c>
      <c r="BI8" s="261">
        <v>3.8193000000000001</v>
      </c>
      <c r="BJ8" s="261">
        <v>4.1012000000000004</v>
      </c>
      <c r="BK8" s="261">
        <v>4.1012000000000004</v>
      </c>
      <c r="BL8" s="261">
        <v>3.8643000000000001</v>
      </c>
      <c r="BM8" s="261">
        <v>3.62</v>
      </c>
      <c r="BN8" s="261">
        <v>3.6315</v>
      </c>
      <c r="BO8" s="261">
        <v>3.6015999999999999</v>
      </c>
      <c r="BP8" s="261">
        <v>3.6015999999999999</v>
      </c>
      <c r="BQ8" s="261">
        <v>3.7408000000000001</v>
      </c>
      <c r="BR8" s="478">
        <v>3.77</v>
      </c>
    </row>
    <row r="9" spans="1:70">
      <c r="A9" s="262"/>
      <c r="B9" s="246"/>
      <c r="C9" s="246"/>
      <c r="D9" s="263"/>
      <c r="E9" s="264"/>
      <c r="F9" s="264"/>
      <c r="G9" s="264"/>
      <c r="H9" s="264"/>
      <c r="I9" s="265"/>
      <c r="J9" s="264"/>
      <c r="K9" s="264"/>
      <c r="L9" s="264"/>
      <c r="M9" s="264"/>
      <c r="N9" s="264"/>
      <c r="O9" s="265"/>
      <c r="P9" s="264"/>
      <c r="Q9" s="264"/>
      <c r="R9" s="264"/>
      <c r="S9" s="264"/>
      <c r="T9" s="264"/>
      <c r="U9" s="265"/>
      <c r="V9" s="264"/>
      <c r="W9" s="264"/>
      <c r="X9" s="264"/>
      <c r="Y9" s="264"/>
      <c r="Z9" s="264"/>
      <c r="AA9" s="265"/>
      <c r="AB9" s="264"/>
      <c r="AC9" s="264"/>
      <c r="AD9" s="264"/>
      <c r="AE9" s="264"/>
      <c r="AF9" s="264"/>
      <c r="AG9" s="265"/>
      <c r="AH9" s="264"/>
      <c r="AI9" s="266"/>
      <c r="AJ9" s="42"/>
      <c r="AK9" s="266"/>
      <c r="AL9" s="266"/>
      <c r="AS9" s="204"/>
      <c r="AT9" s="204"/>
      <c r="AU9" s="204"/>
      <c r="AV9" s="204"/>
    </row>
    <row r="10" spans="1:70">
      <c r="A10" s="268"/>
      <c r="B10" s="246" t="s">
        <v>97</v>
      </c>
      <c r="C10" s="246"/>
      <c r="D10" s="269" t="s">
        <v>0</v>
      </c>
      <c r="E10" s="172" t="s">
        <v>1</v>
      </c>
      <c r="F10" s="172" t="s">
        <v>2</v>
      </c>
      <c r="G10" s="172" t="s">
        <v>3</v>
      </c>
      <c r="H10" s="172">
        <v>2014</v>
      </c>
      <c r="I10" s="270"/>
      <c r="J10" s="172" t="s">
        <v>4</v>
      </c>
      <c r="K10" s="172" t="s">
        <v>5</v>
      </c>
      <c r="L10" s="172" t="s">
        <v>6</v>
      </c>
      <c r="M10" s="172" t="s">
        <v>7</v>
      </c>
      <c r="N10" s="172">
        <v>2015</v>
      </c>
      <c r="O10" s="270"/>
      <c r="P10" s="172" t="s">
        <v>8</v>
      </c>
      <c r="Q10" s="172" t="s">
        <v>9</v>
      </c>
      <c r="R10" s="172" t="s">
        <v>10</v>
      </c>
      <c r="S10" s="172" t="s">
        <v>11</v>
      </c>
      <c r="T10" s="172">
        <v>2016</v>
      </c>
      <c r="U10" s="270"/>
      <c r="V10" s="172" t="s">
        <v>16</v>
      </c>
      <c r="W10" s="172" t="s">
        <v>17</v>
      </c>
      <c r="X10" s="172" t="s">
        <v>20</v>
      </c>
      <c r="Y10" s="172" t="s">
        <v>21</v>
      </c>
      <c r="Z10" s="172">
        <v>2017</v>
      </c>
      <c r="AA10" s="270"/>
      <c r="AB10" s="172" t="s">
        <v>27</v>
      </c>
      <c r="AC10" s="172" t="s">
        <v>29</v>
      </c>
      <c r="AD10" s="172" t="s">
        <v>30</v>
      </c>
      <c r="AE10" s="172" t="s">
        <v>33</v>
      </c>
      <c r="AF10" s="172">
        <v>2018</v>
      </c>
      <c r="AG10" s="270"/>
      <c r="AH10" s="172" t="s">
        <v>35</v>
      </c>
      <c r="AI10" s="172" t="s">
        <v>36</v>
      </c>
      <c r="AJ10" s="251" t="s">
        <v>39</v>
      </c>
      <c r="AK10" s="172" t="s">
        <v>40</v>
      </c>
      <c r="AL10" s="172">
        <v>2019</v>
      </c>
      <c r="AM10" s="53" t="s">
        <v>41</v>
      </c>
      <c r="AN10" s="53" t="s">
        <v>42</v>
      </c>
      <c r="AO10" s="53" t="s">
        <v>43</v>
      </c>
      <c r="AP10" s="172" t="s">
        <v>44</v>
      </c>
      <c r="AQ10" s="172">
        <v>2020</v>
      </c>
      <c r="AR10" s="172" t="s">
        <v>47</v>
      </c>
      <c r="AS10" s="198" t="s">
        <v>48</v>
      </c>
      <c r="AT10" s="198" t="s">
        <v>49</v>
      </c>
      <c r="AU10" s="198" t="s">
        <v>50</v>
      </c>
      <c r="AV10" s="198">
        <v>2021</v>
      </c>
      <c r="AW10" s="53" t="s">
        <v>51</v>
      </c>
      <c r="AX10" s="53" t="s">
        <v>52</v>
      </c>
      <c r="AY10" s="53" t="s">
        <v>53</v>
      </c>
      <c r="AZ10" s="53" t="s">
        <v>54</v>
      </c>
      <c r="BA10" s="53">
        <v>2022</v>
      </c>
      <c r="BB10" s="53" t="s">
        <v>58</v>
      </c>
      <c r="BC10" s="53" t="s">
        <v>59</v>
      </c>
      <c r="BD10" s="53" t="s">
        <v>60</v>
      </c>
      <c r="BE10" s="53" t="s">
        <v>62</v>
      </c>
      <c r="BF10" s="53" t="s">
        <v>63</v>
      </c>
      <c r="BG10" s="53" t="s">
        <v>65</v>
      </c>
      <c r="BH10" s="53" t="s">
        <v>69</v>
      </c>
      <c r="BI10" s="53" t="s">
        <v>71</v>
      </c>
      <c r="BJ10" s="53" t="s">
        <v>73</v>
      </c>
      <c r="BK10" s="53" t="s">
        <v>74</v>
      </c>
      <c r="BL10" s="53" t="s">
        <v>77</v>
      </c>
      <c r="BM10" s="53" t="s">
        <v>80</v>
      </c>
      <c r="BN10" s="53" t="s">
        <v>82</v>
      </c>
      <c r="BO10" s="53" t="s">
        <v>84</v>
      </c>
      <c r="BP10" s="53" t="s">
        <v>85</v>
      </c>
      <c r="BQ10" s="53" t="s">
        <v>87</v>
      </c>
      <c r="BR10" s="53" t="s">
        <v>435</v>
      </c>
    </row>
    <row r="11" spans="1:70" s="275" customFormat="1" ht="12" customHeight="1">
      <c r="A11" s="372"/>
      <c r="B11" s="271" t="s">
        <v>98</v>
      </c>
      <c r="C11" s="272"/>
      <c r="D11" s="175">
        <v>4650</v>
      </c>
      <c r="E11" s="173">
        <v>4878</v>
      </c>
      <c r="F11" s="173">
        <v>5188</v>
      </c>
      <c r="G11" s="173">
        <v>5776</v>
      </c>
      <c r="H11" s="173">
        <v>20492</v>
      </c>
      <c r="I11" s="273"/>
      <c r="J11" s="173">
        <v>4731</v>
      </c>
      <c r="K11" s="173">
        <v>5329</v>
      </c>
      <c r="L11" s="173">
        <v>4800</v>
      </c>
      <c r="M11" s="173">
        <f>N11-SUM(J11:L11)</f>
        <v>5148</v>
      </c>
      <c r="N11" s="173">
        <v>20008</v>
      </c>
      <c r="O11" s="273"/>
      <c r="P11" s="173">
        <v>3912</v>
      </c>
      <c r="Q11" s="173">
        <v>4544</v>
      </c>
      <c r="R11" s="173">
        <v>4685</v>
      </c>
      <c r="S11" s="173">
        <v>6015</v>
      </c>
      <c r="T11" s="173">
        <v>19156</v>
      </c>
      <c r="U11" s="273"/>
      <c r="V11" s="173">
        <v>4911</v>
      </c>
      <c r="W11" s="173">
        <f>9713-4911</f>
        <v>4802</v>
      </c>
      <c r="X11" s="173">
        <v>4774</v>
      </c>
      <c r="Y11" s="173">
        <f>20358-V11-W11-X11</f>
        <v>5871</v>
      </c>
      <c r="Z11" s="173">
        <f t="shared" ref="Z11:Z40" si="0">V11+W11+X11+Y11</f>
        <v>20358</v>
      </c>
      <c r="AA11" s="273"/>
      <c r="AB11" s="173">
        <v>4266</v>
      </c>
      <c r="AC11" s="173">
        <v>5157</v>
      </c>
      <c r="AD11" s="173">
        <v>5364</v>
      </c>
      <c r="AE11" s="173">
        <v>5739</v>
      </c>
      <c r="AF11" s="173">
        <v>20526</v>
      </c>
      <c r="AG11" s="273"/>
      <c r="AH11" s="173">
        <v>5488</v>
      </c>
      <c r="AI11" s="191">
        <f>11228-5488</f>
        <v>5740</v>
      </c>
      <c r="AJ11" s="191">
        <f>16869-5488-5740</f>
        <v>5641</v>
      </c>
      <c r="AK11" s="191">
        <v>5854</v>
      </c>
      <c r="AL11" s="191">
        <v>22723</v>
      </c>
      <c r="AM11" s="191">
        <v>5299</v>
      </c>
      <c r="AN11" s="191">
        <v>5649</v>
      </c>
      <c r="AO11" s="191">
        <v>5632</v>
      </c>
      <c r="AP11" s="274">
        <v>7052</v>
      </c>
      <c r="AQ11" s="274">
        <v>23632</v>
      </c>
      <c r="AR11" s="191">
        <v>6745</v>
      </c>
      <c r="AS11" s="191">
        <v>7761</v>
      </c>
      <c r="AT11" s="191">
        <v>7229</v>
      </c>
      <c r="AU11" s="191">
        <v>8068</v>
      </c>
      <c r="AV11" s="191">
        <v>29803</v>
      </c>
      <c r="AW11" s="191">
        <v>8993</v>
      </c>
      <c r="AX11" s="191">
        <v>8933</v>
      </c>
      <c r="AY11" s="191">
        <v>7770</v>
      </c>
      <c r="AZ11" s="191">
        <f>BA11-AY11-AX11-AW11</f>
        <v>8151</v>
      </c>
      <c r="BA11" s="191">
        <v>33847</v>
      </c>
      <c r="BB11" s="191">
        <v>9585</v>
      </c>
      <c r="BC11" s="191">
        <v>8172</v>
      </c>
      <c r="BD11" s="191">
        <v>7891</v>
      </c>
      <c r="BE11" s="191">
        <v>7819</v>
      </c>
      <c r="BF11" s="191">
        <v>33467</v>
      </c>
      <c r="BG11" s="191">
        <v>8315</v>
      </c>
      <c r="BH11" s="191">
        <v>9165</v>
      </c>
      <c r="BI11" s="191">
        <v>8659</v>
      </c>
      <c r="BJ11" s="191">
        <v>9181</v>
      </c>
      <c r="BK11" s="191">
        <f>BG11+BH11+BI11+BJ11</f>
        <v>35320</v>
      </c>
      <c r="BL11" s="191">
        <v>8942</v>
      </c>
      <c r="BM11" s="191">
        <v>8614</v>
      </c>
      <c r="BN11" s="191">
        <v>8315</v>
      </c>
      <c r="BO11" s="191">
        <f>BP11-BN11-BM11-BL11</f>
        <v>10495</v>
      </c>
      <c r="BP11" s="191">
        <v>36366</v>
      </c>
      <c r="BQ11" s="191">
        <v>11872</v>
      </c>
      <c r="BR11" s="339">
        <v>12839</v>
      </c>
    </row>
    <row r="12" spans="1:70" ht="12" customHeight="1">
      <c r="A12" s="276"/>
      <c r="B12" s="486" t="s">
        <v>12</v>
      </c>
      <c r="C12" s="277"/>
      <c r="D12" s="177">
        <v>3800</v>
      </c>
      <c r="E12" s="174">
        <v>3927</v>
      </c>
      <c r="F12" s="174">
        <v>4116</v>
      </c>
      <c r="G12" s="174">
        <v>4790</v>
      </c>
      <c r="H12" s="174">
        <v>16633</v>
      </c>
      <c r="I12" s="278"/>
      <c r="J12" s="174">
        <v>3767</v>
      </c>
      <c r="K12" s="174">
        <v>4325</v>
      </c>
      <c r="L12" s="174">
        <v>3681</v>
      </c>
      <c r="M12" s="174">
        <v>4166</v>
      </c>
      <c r="N12" s="174">
        <v>15939</v>
      </c>
      <c r="O12" s="278"/>
      <c r="P12" s="174">
        <v>2979</v>
      </c>
      <c r="Q12" s="174">
        <v>3561</v>
      </c>
      <c r="R12" s="174">
        <v>3744</v>
      </c>
      <c r="S12" s="174">
        <v>4828</v>
      </c>
      <c r="T12" s="174">
        <v>15112</v>
      </c>
      <c r="U12" s="278"/>
      <c r="V12" s="174">
        <v>3896</v>
      </c>
      <c r="W12" s="174">
        <f>7701-3896</f>
        <v>3805</v>
      </c>
      <c r="X12" s="174">
        <f>11433-3896-3805</f>
        <v>3732</v>
      </c>
      <c r="Y12" s="174">
        <f>16024-V12-W12-X12</f>
        <v>4591</v>
      </c>
      <c r="Z12" s="174">
        <f t="shared" si="0"/>
        <v>16024</v>
      </c>
      <c r="AA12" s="278"/>
      <c r="AB12" s="174">
        <v>3206</v>
      </c>
      <c r="AC12" s="174">
        <v>3983</v>
      </c>
      <c r="AD12" s="174">
        <f>11317-3206-3983</f>
        <v>4128</v>
      </c>
      <c r="AE12" s="174">
        <v>4440</v>
      </c>
      <c r="AF12" s="174">
        <v>15757</v>
      </c>
      <c r="AG12" s="278"/>
      <c r="AH12" s="174">
        <v>4316</v>
      </c>
      <c r="AI12" s="217">
        <f>8831-4316</f>
        <v>4515</v>
      </c>
      <c r="AJ12" s="217">
        <f>13050-4316-4515</f>
        <v>4219</v>
      </c>
      <c r="AK12" s="217">
        <v>4633</v>
      </c>
      <c r="AL12" s="217">
        <v>17683</v>
      </c>
      <c r="AM12" s="174">
        <v>4225</v>
      </c>
      <c r="AN12" s="174">
        <v>4672</v>
      </c>
      <c r="AO12" s="174">
        <v>4463</v>
      </c>
      <c r="AP12" s="279">
        <v>5966</v>
      </c>
      <c r="AQ12" s="279">
        <v>19326</v>
      </c>
      <c r="AR12" s="217">
        <v>5569</v>
      </c>
      <c r="AS12" s="217">
        <v>6575</v>
      </c>
      <c r="AT12" s="217">
        <v>5826</v>
      </c>
      <c r="AU12" s="217">
        <v>6648</v>
      </c>
      <c r="AV12" s="217">
        <v>24618</v>
      </c>
      <c r="AW12" s="217">
        <v>7555</v>
      </c>
      <c r="AX12" s="217">
        <v>7656</v>
      </c>
      <c r="AY12" s="217">
        <v>6572</v>
      </c>
      <c r="AZ12" s="217">
        <f t="shared" ref="AZ12:AZ47" si="1">BA12-AY12-AX12-AW12</f>
        <v>6646</v>
      </c>
      <c r="BA12" s="217">
        <v>28429</v>
      </c>
      <c r="BB12" s="217">
        <v>8370</v>
      </c>
      <c r="BC12" s="217">
        <v>7140</v>
      </c>
      <c r="BD12" s="217">
        <v>6960</v>
      </c>
      <c r="BE12" s="217">
        <v>6614</v>
      </c>
      <c r="BF12" s="217">
        <v>29084</v>
      </c>
      <c r="BG12" s="217">
        <v>7279</v>
      </c>
      <c r="BH12" s="217">
        <v>7797</v>
      </c>
      <c r="BI12" s="217">
        <v>7185</v>
      </c>
      <c r="BJ12" s="217">
        <v>7633</v>
      </c>
      <c r="BK12" s="217">
        <f>BG12+BH12+BI12+BJ12</f>
        <v>29894</v>
      </c>
      <c r="BL12" s="217">
        <v>7537</v>
      </c>
      <c r="BM12" s="217">
        <v>7323</v>
      </c>
      <c r="BN12" s="217">
        <v>7126</v>
      </c>
      <c r="BO12" s="217">
        <f>BP12-BN12-BM12-BL12</f>
        <v>8978</v>
      </c>
      <c r="BP12" s="217">
        <v>30964</v>
      </c>
      <c r="BQ12" s="217">
        <v>10493</v>
      </c>
      <c r="BR12" s="340">
        <v>11434</v>
      </c>
    </row>
    <row r="13" spans="1:70" ht="12" customHeight="1">
      <c r="A13" s="276"/>
      <c r="B13" s="486" t="s">
        <v>13</v>
      </c>
      <c r="C13" s="277"/>
      <c r="D13" s="177">
        <v>452</v>
      </c>
      <c r="E13" s="174">
        <v>544</v>
      </c>
      <c r="F13" s="174">
        <v>657</v>
      </c>
      <c r="G13" s="174">
        <v>576</v>
      </c>
      <c r="H13" s="174">
        <v>2229</v>
      </c>
      <c r="I13" s="278"/>
      <c r="J13" s="174">
        <v>619</v>
      </c>
      <c r="K13" s="174">
        <v>605</v>
      </c>
      <c r="L13" s="174">
        <v>738</v>
      </c>
      <c r="M13" s="174">
        <v>615</v>
      </c>
      <c r="N13" s="174">
        <v>2577</v>
      </c>
      <c r="O13" s="278"/>
      <c r="P13" s="174">
        <v>588</v>
      </c>
      <c r="Q13" s="174">
        <v>610</v>
      </c>
      <c r="R13" s="174">
        <v>566</v>
      </c>
      <c r="S13" s="174">
        <v>771</v>
      </c>
      <c r="T13" s="174">
        <v>2535</v>
      </c>
      <c r="U13" s="278"/>
      <c r="V13" s="174">
        <v>580</v>
      </c>
      <c r="W13" s="174">
        <f>1181-580</f>
        <v>601</v>
      </c>
      <c r="X13" s="174">
        <f>1793-580-601</f>
        <v>612</v>
      </c>
      <c r="Y13" s="174">
        <f>2602-V13-W13-X13</f>
        <v>809</v>
      </c>
      <c r="Z13" s="174">
        <f t="shared" si="0"/>
        <v>2602</v>
      </c>
      <c r="AA13" s="278"/>
      <c r="AB13" s="174">
        <v>609</v>
      </c>
      <c r="AC13" s="174">
        <v>689</v>
      </c>
      <c r="AD13" s="174">
        <f>2047-609-689</f>
        <v>749</v>
      </c>
      <c r="AE13" s="174">
        <v>809</v>
      </c>
      <c r="AF13" s="174">
        <v>2856</v>
      </c>
      <c r="AG13" s="278"/>
      <c r="AH13" s="174">
        <v>676</v>
      </c>
      <c r="AI13" s="217">
        <f>1414-676</f>
        <v>738</v>
      </c>
      <c r="AJ13" s="217">
        <f>2311-676-738</f>
        <v>897</v>
      </c>
      <c r="AK13" s="217">
        <v>773</v>
      </c>
      <c r="AL13" s="217">
        <v>3084</v>
      </c>
      <c r="AM13" s="217">
        <v>632</v>
      </c>
      <c r="AN13" s="217">
        <v>637</v>
      </c>
      <c r="AO13" s="217">
        <v>757</v>
      </c>
      <c r="AP13" s="279">
        <v>677</v>
      </c>
      <c r="AQ13" s="279">
        <v>2703</v>
      </c>
      <c r="AR13" s="217">
        <v>750</v>
      </c>
      <c r="AS13" s="217">
        <v>657</v>
      </c>
      <c r="AT13" s="217">
        <v>885</v>
      </c>
      <c r="AU13" s="217">
        <v>833</v>
      </c>
      <c r="AV13" s="217">
        <v>3125</v>
      </c>
      <c r="AW13" s="217">
        <v>876</v>
      </c>
      <c r="AX13" s="217">
        <v>740</v>
      </c>
      <c r="AY13" s="217">
        <v>648</v>
      </c>
      <c r="AZ13" s="217">
        <f t="shared" si="1"/>
        <v>953</v>
      </c>
      <c r="BA13" s="217">
        <v>3217</v>
      </c>
      <c r="BB13" s="217">
        <v>711</v>
      </c>
      <c r="BC13" s="217">
        <v>506</v>
      </c>
      <c r="BD13" s="217">
        <v>470</v>
      </c>
      <c r="BE13" s="217">
        <v>764</v>
      </c>
      <c r="BF13" s="217">
        <v>2451</v>
      </c>
      <c r="BG13" s="217">
        <v>525</v>
      </c>
      <c r="BH13" s="217">
        <v>836</v>
      </c>
      <c r="BI13" s="217">
        <v>985</v>
      </c>
      <c r="BJ13" s="217">
        <v>1048</v>
      </c>
      <c r="BK13" s="217">
        <f t="shared" ref="BK13:BK21" si="2">BG13+BH13+BI13+BJ13</f>
        <v>3394</v>
      </c>
      <c r="BL13" s="217">
        <v>895</v>
      </c>
      <c r="BM13" s="217">
        <v>817</v>
      </c>
      <c r="BN13" s="217">
        <v>751</v>
      </c>
      <c r="BO13" s="217">
        <f t="shared" ref="BO13:BO40" si="3">BP13-BN13-BM13-BL13</f>
        <v>976</v>
      </c>
      <c r="BP13" s="217">
        <v>3439</v>
      </c>
      <c r="BQ13" s="217">
        <v>888</v>
      </c>
      <c r="BR13" s="340">
        <v>900</v>
      </c>
    </row>
    <row r="14" spans="1:70" s="275" customFormat="1" ht="12" customHeight="1">
      <c r="A14" s="372"/>
      <c r="B14" s="271" t="s">
        <v>99</v>
      </c>
      <c r="C14" s="272"/>
      <c r="D14" s="175">
        <v>-3664</v>
      </c>
      <c r="E14" s="173">
        <v>-3633</v>
      </c>
      <c r="F14" s="173">
        <v>-3926</v>
      </c>
      <c r="G14" s="173">
        <v>-4528</v>
      </c>
      <c r="H14" s="173">
        <v>-15751</v>
      </c>
      <c r="I14" s="273"/>
      <c r="J14" s="173">
        <v>-3709</v>
      </c>
      <c r="K14" s="173">
        <v>-3972</v>
      </c>
      <c r="L14" s="173">
        <v>-3928</v>
      </c>
      <c r="M14" s="173">
        <v>-6550</v>
      </c>
      <c r="N14" s="173">
        <v>-18159</v>
      </c>
      <c r="O14" s="273"/>
      <c r="P14" s="173">
        <v>-3138</v>
      </c>
      <c r="Q14" s="173">
        <v>-3566</v>
      </c>
      <c r="R14" s="173">
        <v>-3651</v>
      </c>
      <c r="S14" s="173">
        <v>-4887</v>
      </c>
      <c r="T14" s="173">
        <v>-15242</v>
      </c>
      <c r="U14" s="273"/>
      <c r="V14" s="173">
        <v>-3548</v>
      </c>
      <c r="W14" s="173">
        <f>-7215+3548</f>
        <v>-3667</v>
      </c>
      <c r="X14" s="173">
        <v>-3574</v>
      </c>
      <c r="Y14" s="173">
        <f>-15204-V14-W14-X14</f>
        <v>-4415</v>
      </c>
      <c r="Z14" s="173">
        <f t="shared" si="0"/>
        <v>-15204</v>
      </c>
      <c r="AA14" s="273"/>
      <c r="AB14" s="173">
        <v>-3318</v>
      </c>
      <c r="AC14" s="173">
        <v>-4113</v>
      </c>
      <c r="AD14" s="173">
        <v>-4371</v>
      </c>
      <c r="AE14" s="173">
        <v>-4753</v>
      </c>
      <c r="AF14" s="173">
        <v>-16555</v>
      </c>
      <c r="AG14" s="273"/>
      <c r="AH14" s="173">
        <v>-4441</v>
      </c>
      <c r="AI14" s="191">
        <v>-4705</v>
      </c>
      <c r="AJ14" s="191">
        <v>-4431</v>
      </c>
      <c r="AK14" s="191">
        <v>-5190</v>
      </c>
      <c r="AL14" s="191">
        <v>-18767</v>
      </c>
      <c r="AM14" s="191">
        <v>-4486</v>
      </c>
      <c r="AN14" s="191">
        <v>-4648</v>
      </c>
      <c r="AO14" s="191">
        <v>-4296</v>
      </c>
      <c r="AP14" s="274">
        <v>-5551</v>
      </c>
      <c r="AQ14" s="274">
        <v>-18981</v>
      </c>
      <c r="AR14" s="191">
        <v>-4970</v>
      </c>
      <c r="AS14" s="191">
        <v>-6054</v>
      </c>
      <c r="AT14" s="191">
        <v>-5760</v>
      </c>
      <c r="AU14" s="191">
        <v>-6745</v>
      </c>
      <c r="AV14" s="191">
        <v>-23529</v>
      </c>
      <c r="AW14" s="191">
        <v>-6831</v>
      </c>
      <c r="AX14" s="191">
        <v>-7201</v>
      </c>
      <c r="AY14" s="191">
        <v>-6611</v>
      </c>
      <c r="AZ14" s="191">
        <f>BA14-AW14-AX14-AY14</f>
        <v>-6898</v>
      </c>
      <c r="BA14" s="191">
        <v>-27541</v>
      </c>
      <c r="BB14" s="191">
        <v>-8502</v>
      </c>
      <c r="BC14" s="191">
        <v>-7427</v>
      </c>
      <c r="BD14" s="191">
        <v>-7225</v>
      </c>
      <c r="BE14" s="191">
        <v>-9753</v>
      </c>
      <c r="BF14" s="191">
        <v>-32907</v>
      </c>
      <c r="BG14" s="191">
        <v>-7306</v>
      </c>
      <c r="BH14" s="191">
        <v>-7085</v>
      </c>
      <c r="BI14" s="191">
        <v>-7206</v>
      </c>
      <c r="BJ14" s="191">
        <v>-7751</v>
      </c>
      <c r="BK14" s="191">
        <f t="shared" si="2"/>
        <v>-29348</v>
      </c>
      <c r="BL14" s="191">
        <v>-7334</v>
      </c>
      <c r="BM14" s="191">
        <v>-7091</v>
      </c>
      <c r="BN14" s="191">
        <v>-6904</v>
      </c>
      <c r="BO14" s="191">
        <f t="shared" si="3"/>
        <v>-8797</v>
      </c>
      <c r="BP14" s="191">
        <v>-30126</v>
      </c>
      <c r="BQ14" s="191">
        <v>-7366</v>
      </c>
      <c r="BR14" s="339">
        <v>-10131</v>
      </c>
    </row>
    <row r="15" spans="1:70" ht="12" customHeight="1">
      <c r="A15" s="276"/>
      <c r="B15" s="487" t="s">
        <v>100</v>
      </c>
      <c r="C15" s="372"/>
      <c r="D15" s="175">
        <f>D11+D14</f>
        <v>986</v>
      </c>
      <c r="E15" s="173">
        <f>E11+E14</f>
        <v>1245</v>
      </c>
      <c r="F15" s="173">
        <f>F11+F14</f>
        <v>1262</v>
      </c>
      <c r="G15" s="173">
        <f>G11+G14</f>
        <v>1248</v>
      </c>
      <c r="H15" s="173">
        <f>H11+H14</f>
        <v>4741</v>
      </c>
      <c r="I15" s="278"/>
      <c r="J15" s="173">
        <f>J11+J14</f>
        <v>1022</v>
      </c>
      <c r="K15" s="173">
        <f>K11+K14</f>
        <v>1357</v>
      </c>
      <c r="L15" s="173">
        <f>L11+L14</f>
        <v>872</v>
      </c>
      <c r="M15" s="173">
        <f>M11+M14</f>
        <v>-1402</v>
      </c>
      <c r="N15" s="173">
        <f>N11+N14</f>
        <v>1849</v>
      </c>
      <c r="O15" s="278"/>
      <c r="P15" s="173">
        <f t="shared" ref="P15:Y15" si="4">P11+P14</f>
        <v>774</v>
      </c>
      <c r="Q15" s="173">
        <f t="shared" si="4"/>
        <v>978</v>
      </c>
      <c r="R15" s="173">
        <f t="shared" si="4"/>
        <v>1034</v>
      </c>
      <c r="S15" s="173">
        <f t="shared" si="4"/>
        <v>1128</v>
      </c>
      <c r="T15" s="173">
        <f t="shared" si="4"/>
        <v>3914</v>
      </c>
      <c r="U15" s="278"/>
      <c r="V15" s="173">
        <f t="shared" si="4"/>
        <v>1363</v>
      </c>
      <c r="W15" s="173">
        <f t="shared" si="4"/>
        <v>1135</v>
      </c>
      <c r="X15" s="173">
        <f t="shared" si="4"/>
        <v>1200</v>
      </c>
      <c r="Y15" s="173">
        <f t="shared" si="4"/>
        <v>1456</v>
      </c>
      <c r="Z15" s="173">
        <f>V15+W15+X15+Y15</f>
        <v>5154</v>
      </c>
      <c r="AA15" s="278"/>
      <c r="AB15" s="173">
        <v>948</v>
      </c>
      <c r="AC15" s="173">
        <v>1044</v>
      </c>
      <c r="AD15" s="173">
        <v>993</v>
      </c>
      <c r="AE15" s="173">
        <f>AE11+AE14</f>
        <v>986</v>
      </c>
      <c r="AF15" s="173">
        <f>AF11+AF14</f>
        <v>3971</v>
      </c>
      <c r="AG15" s="278"/>
      <c r="AH15" s="173">
        <f>AH11+AH14</f>
        <v>1047</v>
      </c>
      <c r="AI15" s="191">
        <f>AI11+AI14</f>
        <v>1035</v>
      </c>
      <c r="AJ15" s="191">
        <f>AJ11+AJ14</f>
        <v>1210</v>
      </c>
      <c r="AK15" s="191">
        <v>664</v>
      </c>
      <c r="AL15" s="191">
        <v>3956</v>
      </c>
      <c r="AM15" s="191">
        <v>813</v>
      </c>
      <c r="AN15" s="191">
        <v>1001</v>
      </c>
      <c r="AO15" s="191">
        <f>AO11+AO14</f>
        <v>1336</v>
      </c>
      <c r="AP15" s="274">
        <v>1501</v>
      </c>
      <c r="AQ15" s="274">
        <v>4651</v>
      </c>
      <c r="AR15" s="191">
        <v>1775</v>
      </c>
      <c r="AS15" s="191">
        <v>1707</v>
      </c>
      <c r="AT15" s="191">
        <v>1469</v>
      </c>
      <c r="AU15" s="191">
        <v>1323</v>
      </c>
      <c r="AV15" s="191">
        <v>6274</v>
      </c>
      <c r="AW15" s="191">
        <v>2162</v>
      </c>
      <c r="AX15" s="191">
        <v>1732</v>
      </c>
      <c r="AY15" s="191">
        <v>1159</v>
      </c>
      <c r="AZ15" s="191">
        <f t="shared" si="1"/>
        <v>1253</v>
      </c>
      <c r="BA15" s="191">
        <v>6306</v>
      </c>
      <c r="BB15" s="191">
        <v>1083</v>
      </c>
      <c r="BC15" s="191">
        <v>745</v>
      </c>
      <c r="BD15" s="191">
        <v>666</v>
      </c>
      <c r="BE15" s="191">
        <v>-1934</v>
      </c>
      <c r="BF15" s="191">
        <v>560</v>
      </c>
      <c r="BG15" s="191">
        <v>1009</v>
      </c>
      <c r="BH15" s="191">
        <f>BH11+BH14</f>
        <v>2080</v>
      </c>
      <c r="BI15" s="191">
        <v>1453</v>
      </c>
      <c r="BJ15" s="191">
        <v>1430</v>
      </c>
      <c r="BK15" s="191">
        <f t="shared" si="2"/>
        <v>5972</v>
      </c>
      <c r="BL15" s="191">
        <v>1608</v>
      </c>
      <c r="BM15" s="191">
        <v>1523</v>
      </c>
      <c r="BN15" s="191">
        <v>1411</v>
      </c>
      <c r="BO15" s="191">
        <f t="shared" si="3"/>
        <v>1698</v>
      </c>
      <c r="BP15" s="191">
        <v>6240</v>
      </c>
      <c r="BQ15" s="191">
        <v>4506</v>
      </c>
      <c r="BR15" s="339">
        <v>2708</v>
      </c>
    </row>
    <row r="16" spans="1:70" s="250" customFormat="1" ht="12" customHeight="1">
      <c r="B16" s="488" t="s">
        <v>101</v>
      </c>
      <c r="C16" s="280"/>
      <c r="D16" s="28">
        <v>-73</v>
      </c>
      <c r="E16" s="29">
        <v>-120</v>
      </c>
      <c r="F16" s="29">
        <v>-96</v>
      </c>
      <c r="G16" s="29">
        <v>-101</v>
      </c>
      <c r="H16" s="29">
        <v>-390</v>
      </c>
      <c r="I16" s="281"/>
      <c r="J16" s="29">
        <v>-93</v>
      </c>
      <c r="K16" s="29">
        <v>-70</v>
      </c>
      <c r="L16" s="29">
        <v>-143</v>
      </c>
      <c r="M16" s="29">
        <v>-107</v>
      </c>
      <c r="N16" s="29">
        <v>-413</v>
      </c>
      <c r="O16" s="281"/>
      <c r="P16" s="29">
        <v>-98</v>
      </c>
      <c r="Q16" s="29">
        <v>-94</v>
      </c>
      <c r="R16" s="29">
        <v>-104</v>
      </c>
      <c r="S16" s="29">
        <v>-114</v>
      </c>
      <c r="T16" s="29">
        <v>-410</v>
      </c>
      <c r="U16" s="281"/>
      <c r="V16" s="29">
        <v>-86</v>
      </c>
      <c r="W16" s="29">
        <f>-178+86</f>
        <v>-92</v>
      </c>
      <c r="X16" s="29">
        <v>-89</v>
      </c>
      <c r="Y16" s="29">
        <f>-371-V16-W16-X16</f>
        <v>-104</v>
      </c>
      <c r="Z16" s="29">
        <f t="shared" si="0"/>
        <v>-371</v>
      </c>
      <c r="AA16" s="281"/>
      <c r="AB16" s="29">
        <v>-82</v>
      </c>
      <c r="AC16" s="29">
        <v>-98</v>
      </c>
      <c r="AD16" s="29">
        <v>-92</v>
      </c>
      <c r="AE16" s="29">
        <v>-102</v>
      </c>
      <c r="AF16" s="29">
        <v>-374</v>
      </c>
      <c r="AG16" s="281"/>
      <c r="AH16" s="29">
        <v>-98</v>
      </c>
      <c r="AI16" s="217">
        <v>-104</v>
      </c>
      <c r="AJ16" s="217">
        <v>-109</v>
      </c>
      <c r="AK16" s="217">
        <v>-121</v>
      </c>
      <c r="AL16" s="217">
        <v>-432</v>
      </c>
      <c r="AM16" s="217">
        <v>-103</v>
      </c>
      <c r="AN16" s="217">
        <v>-109</v>
      </c>
      <c r="AO16" s="217">
        <v>-114</v>
      </c>
      <c r="AP16" s="279">
        <v>-106</v>
      </c>
      <c r="AQ16" s="279">
        <v>-432</v>
      </c>
      <c r="AR16" s="217">
        <v>-109</v>
      </c>
      <c r="AS16" s="217">
        <v>-106</v>
      </c>
      <c r="AT16" s="217">
        <v>-115</v>
      </c>
      <c r="AU16" s="217">
        <v>-120</v>
      </c>
      <c r="AV16" s="217">
        <v>-450</v>
      </c>
      <c r="AW16" s="217">
        <v>-123</v>
      </c>
      <c r="AX16" s="217">
        <v>-143</v>
      </c>
      <c r="AY16" s="217">
        <v>-145</v>
      </c>
      <c r="AZ16" s="217">
        <f t="shared" si="1"/>
        <v>-149</v>
      </c>
      <c r="BA16" s="217">
        <v>-560</v>
      </c>
      <c r="BB16" s="217">
        <v>-124</v>
      </c>
      <c r="BC16" s="217">
        <v>-109</v>
      </c>
      <c r="BD16" s="217">
        <v>-114</v>
      </c>
      <c r="BE16" s="217">
        <v>-134</v>
      </c>
      <c r="BF16" s="217">
        <v>-481</v>
      </c>
      <c r="BG16" s="217">
        <v>-126</v>
      </c>
      <c r="BH16" s="217">
        <v>-141</v>
      </c>
      <c r="BI16" s="217">
        <v>-129</v>
      </c>
      <c r="BJ16" s="217">
        <v>-133</v>
      </c>
      <c r="BK16" s="217">
        <f t="shared" si="2"/>
        <v>-529</v>
      </c>
      <c r="BL16" s="217">
        <v>-129</v>
      </c>
      <c r="BM16" s="217">
        <v>-116</v>
      </c>
      <c r="BN16" s="217">
        <v>-115</v>
      </c>
      <c r="BO16" s="217">
        <f t="shared" si="3"/>
        <v>-122</v>
      </c>
      <c r="BP16" s="217">
        <v>-482</v>
      </c>
      <c r="BQ16" s="217">
        <v>-126</v>
      </c>
      <c r="BR16" s="340">
        <v>-138</v>
      </c>
    </row>
    <row r="17" spans="1:71" s="250" customFormat="1" ht="12" customHeight="1">
      <c r="B17" s="488" t="s">
        <v>102</v>
      </c>
      <c r="C17" s="280"/>
      <c r="D17" s="28">
        <v>-252</v>
      </c>
      <c r="E17" s="29">
        <v>-217</v>
      </c>
      <c r="F17" s="29">
        <v>-244</v>
      </c>
      <c r="G17" s="29">
        <v>-285</v>
      </c>
      <c r="H17" s="29">
        <v>-998</v>
      </c>
      <c r="I17" s="281"/>
      <c r="J17" s="29">
        <v>-206</v>
      </c>
      <c r="K17" s="29">
        <v>-244</v>
      </c>
      <c r="L17" s="29">
        <v>-221</v>
      </c>
      <c r="M17" s="29">
        <v>-259</v>
      </c>
      <c r="N17" s="29">
        <v>-930</v>
      </c>
      <c r="O17" s="281"/>
      <c r="P17" s="29">
        <v>-186</v>
      </c>
      <c r="Q17" s="29">
        <v>-256</v>
      </c>
      <c r="R17" s="29">
        <v>-235</v>
      </c>
      <c r="S17" s="29">
        <v>-283</v>
      </c>
      <c r="T17" s="29">
        <v>-960</v>
      </c>
      <c r="U17" s="281"/>
      <c r="V17" s="29">
        <v>-203</v>
      </c>
      <c r="W17" s="29">
        <f>-443+203</f>
        <v>-240</v>
      </c>
      <c r="X17" s="29">
        <v>-247</v>
      </c>
      <c r="Y17" s="29">
        <f>-972-V17-W17-X17</f>
        <v>-282</v>
      </c>
      <c r="Z17" s="29">
        <f t="shared" si="0"/>
        <v>-972</v>
      </c>
      <c r="AA17" s="281"/>
      <c r="AB17" s="29">
        <v>-207</v>
      </c>
      <c r="AC17" s="29">
        <v>-253</v>
      </c>
      <c r="AD17" s="29">
        <v>-254</v>
      </c>
      <c r="AE17" s="29">
        <v>-292</v>
      </c>
      <c r="AF17" s="29">
        <v>-1006</v>
      </c>
      <c r="AG17" s="281"/>
      <c r="AH17" s="29">
        <v>-210</v>
      </c>
      <c r="AI17" s="217">
        <v>-265</v>
      </c>
      <c r="AJ17" s="217">
        <v>-278</v>
      </c>
      <c r="AK17" s="217">
        <v>-316</v>
      </c>
      <c r="AL17" s="217">
        <v>-1069</v>
      </c>
      <c r="AM17" s="217">
        <v>-215</v>
      </c>
      <c r="AN17" s="217">
        <v>-247</v>
      </c>
      <c r="AO17" s="217">
        <v>-256</v>
      </c>
      <c r="AP17" s="279">
        <v>-340</v>
      </c>
      <c r="AQ17" s="279">
        <v>-1058</v>
      </c>
      <c r="AR17" s="217">
        <v>-224</v>
      </c>
      <c r="AS17" s="217">
        <v>-237</v>
      </c>
      <c r="AT17" s="217">
        <v>-289</v>
      </c>
      <c r="AU17" s="217">
        <v>-364</v>
      </c>
      <c r="AV17" s="217">
        <v>-1114</v>
      </c>
      <c r="AW17" s="217">
        <v>-238</v>
      </c>
      <c r="AX17" s="217">
        <v>-359</v>
      </c>
      <c r="AY17" s="217">
        <v>-359</v>
      </c>
      <c r="AZ17" s="217">
        <f t="shared" si="1"/>
        <v>-446</v>
      </c>
      <c r="BA17" s="217">
        <v>-1402</v>
      </c>
      <c r="BB17" s="217">
        <v>-297</v>
      </c>
      <c r="BC17" s="217">
        <v>-403</v>
      </c>
      <c r="BD17" s="217">
        <v>-358</v>
      </c>
      <c r="BE17" s="217">
        <v>-661</v>
      </c>
      <c r="BF17" s="217">
        <v>-1719</v>
      </c>
      <c r="BG17" s="217">
        <v>-297</v>
      </c>
      <c r="BH17" s="217">
        <v>-415</v>
      </c>
      <c r="BI17" s="217">
        <v>-448</v>
      </c>
      <c r="BJ17" s="217">
        <v>-516</v>
      </c>
      <c r="BK17" s="217">
        <f t="shared" si="2"/>
        <v>-1676</v>
      </c>
      <c r="BL17" s="217">
        <v>-351</v>
      </c>
      <c r="BM17" s="217">
        <v>-434</v>
      </c>
      <c r="BN17" s="217">
        <v>-437</v>
      </c>
      <c r="BO17" s="217">
        <f t="shared" si="3"/>
        <v>-577</v>
      </c>
      <c r="BP17" s="217">
        <v>-1799</v>
      </c>
      <c r="BQ17" s="217">
        <f>-380</f>
        <v>-380</v>
      </c>
      <c r="BR17" s="340">
        <v>-513</v>
      </c>
    </row>
    <row r="18" spans="1:71" ht="12" customHeight="1">
      <c r="A18" s="276"/>
      <c r="B18" s="487" t="s">
        <v>103</v>
      </c>
      <c r="C18" s="372"/>
      <c r="D18" s="175">
        <f>D15+D16+D17</f>
        <v>661</v>
      </c>
      <c r="E18" s="173">
        <f>E15+E16+E17</f>
        <v>908</v>
      </c>
      <c r="F18" s="173">
        <f>F15+F16+F17</f>
        <v>922</v>
      </c>
      <c r="G18" s="173">
        <f>G15+G16+G17</f>
        <v>862</v>
      </c>
      <c r="H18" s="173">
        <f>H15+H16+H17</f>
        <v>3353</v>
      </c>
      <c r="I18" s="278"/>
      <c r="J18" s="173">
        <f>J15+J16+J17</f>
        <v>723</v>
      </c>
      <c r="K18" s="173">
        <f>K15+K16+K17</f>
        <v>1043</v>
      </c>
      <c r="L18" s="173">
        <f>L15+L16+L17</f>
        <v>508</v>
      </c>
      <c r="M18" s="173">
        <f>M15+M16+M17</f>
        <v>-1768</v>
      </c>
      <c r="N18" s="173">
        <f>N15+N16+N17</f>
        <v>506</v>
      </c>
      <c r="O18" s="278"/>
      <c r="P18" s="173">
        <f t="shared" ref="P18:Y18" si="5">P15+P16+P17</f>
        <v>490</v>
      </c>
      <c r="Q18" s="173">
        <f t="shared" si="5"/>
        <v>628</v>
      </c>
      <c r="R18" s="173">
        <f t="shared" si="5"/>
        <v>695</v>
      </c>
      <c r="S18" s="173">
        <f t="shared" si="5"/>
        <v>731</v>
      </c>
      <c r="T18" s="173">
        <f t="shared" si="5"/>
        <v>2544</v>
      </c>
      <c r="U18" s="278"/>
      <c r="V18" s="173">
        <f t="shared" si="5"/>
        <v>1074</v>
      </c>
      <c r="W18" s="173">
        <f t="shared" si="5"/>
        <v>803</v>
      </c>
      <c r="X18" s="173">
        <f t="shared" si="5"/>
        <v>864</v>
      </c>
      <c r="Y18" s="173">
        <f t="shared" si="5"/>
        <v>1070</v>
      </c>
      <c r="Z18" s="173">
        <f t="shared" si="0"/>
        <v>3811</v>
      </c>
      <c r="AA18" s="278"/>
      <c r="AB18" s="173">
        <f>AB15+AB16+AB17</f>
        <v>659</v>
      </c>
      <c r="AC18" s="173">
        <f>AC15+AC16+AC17</f>
        <v>693</v>
      </c>
      <c r="AD18" s="173">
        <f>AD15+AD16+AD17</f>
        <v>647</v>
      </c>
      <c r="AE18" s="173">
        <f>AE15+AE16+AE17</f>
        <v>592</v>
      </c>
      <c r="AF18" s="173">
        <f>AF15+AF16+AF17</f>
        <v>2591</v>
      </c>
      <c r="AG18" s="278"/>
      <c r="AH18" s="173">
        <f>AH15+AH16+AH17</f>
        <v>739</v>
      </c>
      <c r="AI18" s="191">
        <f>AI15+AI16+AI17</f>
        <v>666</v>
      </c>
      <c r="AJ18" s="191">
        <f>AJ15+AJ16+AJ17</f>
        <v>823</v>
      </c>
      <c r="AK18" s="191">
        <v>227</v>
      </c>
      <c r="AL18" s="191">
        <v>2455</v>
      </c>
      <c r="AM18" s="191">
        <v>495</v>
      </c>
      <c r="AN18" s="191">
        <v>645</v>
      </c>
      <c r="AO18" s="191">
        <f>AO15+AO16+AO17</f>
        <v>966</v>
      </c>
      <c r="AP18" s="274">
        <v>1055</v>
      </c>
      <c r="AQ18" s="274">
        <v>3161</v>
      </c>
      <c r="AR18" s="191">
        <v>1442</v>
      </c>
      <c r="AS18" s="191">
        <v>1364</v>
      </c>
      <c r="AT18" s="191">
        <v>1065</v>
      </c>
      <c r="AU18" s="191">
        <v>839</v>
      </c>
      <c r="AV18" s="191">
        <v>4710</v>
      </c>
      <c r="AW18" s="191">
        <v>1801</v>
      </c>
      <c r="AX18" s="191">
        <v>1230</v>
      </c>
      <c r="AY18" s="191">
        <v>655</v>
      </c>
      <c r="AZ18" s="191">
        <f t="shared" si="1"/>
        <v>658</v>
      </c>
      <c r="BA18" s="191">
        <v>4344</v>
      </c>
      <c r="BB18" s="191">
        <v>662</v>
      </c>
      <c r="BC18" s="191">
        <v>233</v>
      </c>
      <c r="BD18" s="191">
        <v>194</v>
      </c>
      <c r="BE18" s="191">
        <v>-2729</v>
      </c>
      <c r="BF18" s="191">
        <v>-1640</v>
      </c>
      <c r="BG18" s="191">
        <v>586</v>
      </c>
      <c r="BH18" s="191">
        <f>BH15+BH16+BH17</f>
        <v>1524</v>
      </c>
      <c r="BI18" s="191">
        <v>876</v>
      </c>
      <c r="BJ18" s="191">
        <v>781</v>
      </c>
      <c r="BK18" s="191">
        <f t="shared" si="2"/>
        <v>3767</v>
      </c>
      <c r="BL18" s="191">
        <v>1128</v>
      </c>
      <c r="BM18" s="191">
        <v>973</v>
      </c>
      <c r="BN18" s="191">
        <v>859</v>
      </c>
      <c r="BO18" s="191">
        <f t="shared" si="3"/>
        <v>999</v>
      </c>
      <c r="BP18" s="191">
        <v>3959</v>
      </c>
      <c r="BQ18" s="191">
        <v>4000</v>
      </c>
      <c r="BR18" s="339">
        <v>2057</v>
      </c>
    </row>
    <row r="19" spans="1:71" ht="12" customHeight="1">
      <c r="A19" s="276"/>
      <c r="B19" s="486" t="s">
        <v>12</v>
      </c>
      <c r="C19" s="277"/>
      <c r="D19" s="177">
        <f>3800-3024</f>
        <v>776</v>
      </c>
      <c r="E19" s="174">
        <f>-6127+7727-776</f>
        <v>824</v>
      </c>
      <c r="F19" s="174">
        <f>-9341+11843-776-824</f>
        <v>902</v>
      </c>
      <c r="G19" s="174">
        <v>1011</v>
      </c>
      <c r="H19" s="174">
        <v>3513</v>
      </c>
      <c r="I19" s="278"/>
      <c r="J19" s="174">
        <v>869</v>
      </c>
      <c r="K19" s="174">
        <v>1066</v>
      </c>
      <c r="L19" s="174">
        <v>662</v>
      </c>
      <c r="M19" s="174">
        <v>687</v>
      </c>
      <c r="N19" s="174">
        <v>3284</v>
      </c>
      <c r="O19" s="278"/>
      <c r="P19" s="174">
        <v>459</v>
      </c>
      <c r="Q19" s="174">
        <v>553</v>
      </c>
      <c r="R19" s="174">
        <v>682</v>
      </c>
      <c r="S19" s="174">
        <v>901</v>
      </c>
      <c r="T19" s="174">
        <v>2595</v>
      </c>
      <c r="U19" s="278"/>
      <c r="V19" s="174">
        <v>1065</v>
      </c>
      <c r="W19" s="174">
        <f>1735-1065</f>
        <v>670</v>
      </c>
      <c r="X19" s="174">
        <f>2447-1065-670</f>
        <v>712</v>
      </c>
      <c r="Y19" s="174">
        <f>1323-1065-670-712</f>
        <v>-1124</v>
      </c>
      <c r="Z19" s="174">
        <f t="shared" si="0"/>
        <v>1323</v>
      </c>
      <c r="AA19" s="278"/>
      <c r="AB19" s="174">
        <v>520</v>
      </c>
      <c r="AC19" s="174">
        <f>1166-520</f>
        <v>646</v>
      </c>
      <c r="AD19" s="174">
        <f>1768-520-646</f>
        <v>602</v>
      </c>
      <c r="AE19" s="174">
        <v>529</v>
      </c>
      <c r="AF19" s="174">
        <v>2297</v>
      </c>
      <c r="AG19" s="278"/>
      <c r="AH19" s="174">
        <v>725</v>
      </c>
      <c r="AI19" s="217">
        <f>1333-725</f>
        <v>608</v>
      </c>
      <c r="AJ19" s="217">
        <f>1975-725-608</f>
        <v>642</v>
      </c>
      <c r="AK19" s="217">
        <v>417</v>
      </c>
      <c r="AL19" s="217">
        <v>2392</v>
      </c>
      <c r="AM19" s="217">
        <v>616</v>
      </c>
      <c r="AN19" s="217">
        <v>720</v>
      </c>
      <c r="AO19" s="217">
        <f>2156-616-720</f>
        <v>820</v>
      </c>
      <c r="AP19" s="279">
        <v>1009</v>
      </c>
      <c r="AQ19" s="279">
        <f>AP19+AO19+AN19+AM19</f>
        <v>3165</v>
      </c>
      <c r="AR19" s="217">
        <v>1359</v>
      </c>
      <c r="AS19" s="217">
        <v>1135</v>
      </c>
      <c r="AT19" s="217">
        <v>756</v>
      </c>
      <c r="AU19" s="217">
        <v>854</v>
      </c>
      <c r="AV19" s="217">
        <v>4104</v>
      </c>
      <c r="AW19" s="217">
        <v>1602</v>
      </c>
      <c r="AX19" s="217">
        <v>1142</v>
      </c>
      <c r="AY19" s="217">
        <v>629</v>
      </c>
      <c r="AZ19" s="217">
        <f>BA19-AY19-AX19-AW19</f>
        <v>593</v>
      </c>
      <c r="BA19" s="217">
        <v>3966</v>
      </c>
      <c r="BB19" s="217">
        <v>997</v>
      </c>
      <c r="BC19" s="217">
        <v>444</v>
      </c>
      <c r="BD19" s="217">
        <v>446</v>
      </c>
      <c r="BE19" s="217">
        <v>-2807</v>
      </c>
      <c r="BF19" s="217">
        <v>-920</v>
      </c>
      <c r="BG19" s="217">
        <v>501</v>
      </c>
      <c r="BH19" s="217">
        <v>1170</v>
      </c>
      <c r="BI19" s="217">
        <v>533</v>
      </c>
      <c r="BJ19" s="217">
        <v>652</v>
      </c>
      <c r="BK19" s="217">
        <f t="shared" si="2"/>
        <v>2856</v>
      </c>
      <c r="BL19" s="217">
        <v>808</v>
      </c>
      <c r="BM19" s="217">
        <v>733</v>
      </c>
      <c r="BN19" s="217">
        <v>683</v>
      </c>
      <c r="BO19" s="217">
        <f t="shared" si="3"/>
        <v>932</v>
      </c>
      <c r="BP19" s="217">
        <v>3156</v>
      </c>
      <c r="BQ19" s="217">
        <v>3758</v>
      </c>
      <c r="BR19" s="340">
        <v>1844</v>
      </c>
    </row>
    <row r="20" spans="1:71" ht="12" customHeight="1">
      <c r="A20" s="276"/>
      <c r="B20" s="486" t="s">
        <v>13</v>
      </c>
      <c r="C20" s="277"/>
      <c r="D20" s="177">
        <f>-558+452</f>
        <v>-106</v>
      </c>
      <c r="E20" s="174">
        <f>-1055+996--106</f>
        <v>47</v>
      </c>
      <c r="F20" s="174">
        <f>-1726+1653--106-47</f>
        <v>-14</v>
      </c>
      <c r="G20" s="174">
        <v>-86</v>
      </c>
      <c r="H20" s="174">
        <v>-159</v>
      </c>
      <c r="I20" s="278"/>
      <c r="J20" s="174">
        <v>-164</v>
      </c>
      <c r="K20" s="174">
        <v>-62</v>
      </c>
      <c r="L20" s="174">
        <v>-173</v>
      </c>
      <c r="M20" s="174">
        <v>-2493</v>
      </c>
      <c r="N20" s="174">
        <v>-2892</v>
      </c>
      <c r="O20" s="278"/>
      <c r="P20" s="174">
        <v>11</v>
      </c>
      <c r="Q20" s="174">
        <v>13</v>
      </c>
      <c r="R20" s="174">
        <v>-4</v>
      </c>
      <c r="S20" s="174">
        <v>-191</v>
      </c>
      <c r="T20" s="174">
        <v>-171</v>
      </c>
      <c r="U20" s="278"/>
      <c r="V20" s="174">
        <v>-1</v>
      </c>
      <c r="W20" s="174">
        <f>101--1</f>
        <v>102</v>
      </c>
      <c r="X20" s="174">
        <f>217-102+1</f>
        <v>116</v>
      </c>
      <c r="Y20" s="174">
        <f>-561-102+1-116</f>
        <v>-778</v>
      </c>
      <c r="Z20" s="174">
        <f t="shared" si="0"/>
        <v>-561</v>
      </c>
      <c r="AA20" s="278"/>
      <c r="AB20" s="174">
        <v>124</v>
      </c>
      <c r="AC20" s="174">
        <f>160-124</f>
        <v>36</v>
      </c>
      <c r="AD20" s="174">
        <f>193-36-124</f>
        <v>33</v>
      </c>
      <c r="AE20" s="174">
        <v>68</v>
      </c>
      <c r="AF20" s="174">
        <v>261</v>
      </c>
      <c r="AG20" s="278"/>
      <c r="AH20" s="174">
        <v>45</v>
      </c>
      <c r="AI20" s="217">
        <f>120-45</f>
        <v>75</v>
      </c>
      <c r="AJ20" s="217">
        <f>223-45-75</f>
        <v>103</v>
      </c>
      <c r="AK20" s="217">
        <v>96</v>
      </c>
      <c r="AL20" s="217">
        <v>319</v>
      </c>
      <c r="AM20" s="217">
        <v>-92</v>
      </c>
      <c r="AN20" s="217">
        <v>5</v>
      </c>
      <c r="AO20" s="217">
        <f>62--92-5</f>
        <v>149</v>
      </c>
      <c r="AP20" s="279">
        <v>82</v>
      </c>
      <c r="AQ20" s="279">
        <f>AP20+AO20+AN20+AM20</f>
        <v>144</v>
      </c>
      <c r="AR20" s="217">
        <v>116</v>
      </c>
      <c r="AS20" s="217">
        <v>205</v>
      </c>
      <c r="AT20" s="217">
        <v>302</v>
      </c>
      <c r="AU20" s="217">
        <v>39</v>
      </c>
      <c r="AV20" s="217">
        <v>662</v>
      </c>
      <c r="AW20" s="217">
        <v>251</v>
      </c>
      <c r="AX20" s="217">
        <v>95</v>
      </c>
      <c r="AY20" s="217">
        <v>3</v>
      </c>
      <c r="AZ20" s="217">
        <f t="shared" si="1"/>
        <v>48</v>
      </c>
      <c r="BA20" s="217">
        <v>397</v>
      </c>
      <c r="BB20" s="217">
        <v>-289</v>
      </c>
      <c r="BC20" s="217">
        <v>-321</v>
      </c>
      <c r="BD20" s="217">
        <v>-282</v>
      </c>
      <c r="BE20" s="217">
        <v>37</v>
      </c>
      <c r="BF20" s="217">
        <v>-855</v>
      </c>
      <c r="BG20" s="217">
        <v>55</v>
      </c>
      <c r="BH20" s="217">
        <v>239</v>
      </c>
      <c r="BI20" s="217">
        <v>355</v>
      </c>
      <c r="BJ20" s="217">
        <v>347</v>
      </c>
      <c r="BK20" s="217">
        <f>BG20+BH20+BI20+BJ20</f>
        <v>996</v>
      </c>
      <c r="BL20" s="217">
        <v>278</v>
      </c>
      <c r="BM20" s="217">
        <v>255</v>
      </c>
      <c r="BN20" s="217">
        <v>188</v>
      </c>
      <c r="BO20" s="217">
        <f t="shared" si="3"/>
        <v>276</v>
      </c>
      <c r="BP20" s="217">
        <v>997</v>
      </c>
      <c r="BQ20" s="217">
        <v>266</v>
      </c>
      <c r="BR20" s="340">
        <v>204</v>
      </c>
    </row>
    <row r="21" spans="1:71" s="275" customFormat="1" ht="11.25" customHeight="1">
      <c r="A21" s="372"/>
      <c r="B21" s="489" t="s">
        <v>104</v>
      </c>
      <c r="C21" s="272"/>
      <c r="D21" s="175">
        <f>SUM(D22:D27)</f>
        <v>60</v>
      </c>
      <c r="E21" s="173">
        <f>SUM(E22:E27)</f>
        <v>66</v>
      </c>
      <c r="F21" s="173">
        <f>SUM(F22:F27)</f>
        <v>74</v>
      </c>
      <c r="G21" s="173">
        <f>SUM(G22:G27)</f>
        <v>-185</v>
      </c>
      <c r="H21" s="173">
        <f>SUM(H22:H27)</f>
        <v>15</v>
      </c>
      <c r="I21" s="273"/>
      <c r="J21" s="173">
        <f>SUM(J22:J27)</f>
        <v>82</v>
      </c>
      <c r="K21" s="173">
        <f>SUM(K22:K27)</f>
        <v>94</v>
      </c>
      <c r="L21" s="173">
        <f>SUM(L22:L27)</f>
        <v>-170</v>
      </c>
      <c r="M21" s="173">
        <f>SUM(M22:M27)</f>
        <v>-4668</v>
      </c>
      <c r="N21" s="173">
        <f>SUM(N22:N27)</f>
        <v>-4662</v>
      </c>
      <c r="O21" s="273"/>
      <c r="P21" s="173">
        <f t="shared" ref="P21:Y21" si="6">SUM(P22:P27)</f>
        <v>-68</v>
      </c>
      <c r="Q21" s="173">
        <f t="shared" si="6"/>
        <v>-102</v>
      </c>
      <c r="R21" s="173">
        <f t="shared" si="6"/>
        <v>-192</v>
      </c>
      <c r="S21" s="173">
        <f t="shared" si="6"/>
        <v>-4599</v>
      </c>
      <c r="T21" s="173">
        <f t="shared" si="6"/>
        <v>-4961</v>
      </c>
      <c r="U21" s="273"/>
      <c r="V21" s="173">
        <f t="shared" si="6"/>
        <v>82</v>
      </c>
      <c r="W21" s="173">
        <f t="shared" si="6"/>
        <v>-136</v>
      </c>
      <c r="X21" s="173">
        <f t="shared" si="6"/>
        <v>79</v>
      </c>
      <c r="Y21" s="173">
        <f t="shared" si="6"/>
        <v>-180</v>
      </c>
      <c r="Z21" s="173">
        <f t="shared" si="0"/>
        <v>-155</v>
      </c>
      <c r="AA21" s="273"/>
      <c r="AB21" s="173">
        <v>81</v>
      </c>
      <c r="AC21" s="173">
        <f>SUM(AC22:AC27)</f>
        <v>-209</v>
      </c>
      <c r="AD21" s="173">
        <f>SUM(AD22:AD27)</f>
        <v>62</v>
      </c>
      <c r="AE21" s="173">
        <f>SUM(AE22:AE27)</f>
        <v>394</v>
      </c>
      <c r="AF21" s="173">
        <f>AF22+AF23+AF25+AF27</f>
        <v>328</v>
      </c>
      <c r="AG21" s="273"/>
      <c r="AH21" s="173">
        <f>AH22+AH23+AH25+AH27</f>
        <v>82</v>
      </c>
      <c r="AI21" s="191">
        <f>AI22+AI23+AI25+AI27</f>
        <v>21</v>
      </c>
      <c r="AJ21" s="191">
        <f>AJ22+AJ23+AJ25+AJ27</f>
        <v>-17</v>
      </c>
      <c r="AK21" s="191">
        <v>-77</v>
      </c>
      <c r="AL21" s="191">
        <v>9</v>
      </c>
      <c r="AM21" s="191">
        <v>96</v>
      </c>
      <c r="AN21" s="191">
        <v>-113</v>
      </c>
      <c r="AO21" s="191">
        <f>AO22+AO23+AO25+AO27</f>
        <v>95</v>
      </c>
      <c r="AP21" s="274">
        <v>169</v>
      </c>
      <c r="AQ21" s="274">
        <v>247</v>
      </c>
      <c r="AR21" s="191">
        <v>97</v>
      </c>
      <c r="AS21" s="191">
        <v>1752</v>
      </c>
      <c r="AT21" s="191">
        <v>128</v>
      </c>
      <c r="AU21" s="191">
        <v>897</v>
      </c>
      <c r="AV21" s="191">
        <v>2874</v>
      </c>
      <c r="AW21" s="191">
        <v>247</v>
      </c>
      <c r="AX21" s="191">
        <v>855</v>
      </c>
      <c r="AY21" s="191">
        <v>158</v>
      </c>
      <c r="AZ21" s="191">
        <f>BA21-AY21-AX21-AW21</f>
        <v>195</v>
      </c>
      <c r="BA21" s="191">
        <v>1455</v>
      </c>
      <c r="BB21" s="191">
        <v>147</v>
      </c>
      <c r="BC21" s="191">
        <v>627</v>
      </c>
      <c r="BD21" s="191">
        <v>165</v>
      </c>
      <c r="BE21" s="191">
        <v>-241</v>
      </c>
      <c r="BF21" s="191">
        <v>698</v>
      </c>
      <c r="BG21" s="191">
        <v>144</v>
      </c>
      <c r="BH21" s="191">
        <f>BH26+BH27</f>
        <v>-260</v>
      </c>
      <c r="BI21" s="191">
        <v>293</v>
      </c>
      <c r="BJ21" s="191">
        <v>601</v>
      </c>
      <c r="BK21" s="191">
        <f t="shared" si="2"/>
        <v>778</v>
      </c>
      <c r="BL21" s="191">
        <v>150</v>
      </c>
      <c r="BM21" s="191">
        <v>288</v>
      </c>
      <c r="BN21" s="191">
        <v>144</v>
      </c>
      <c r="BO21" s="191">
        <f>BP21-BN21-BM21-BL21</f>
        <v>2319</v>
      </c>
      <c r="BP21" s="191">
        <v>2901</v>
      </c>
      <c r="BQ21" s="191">
        <v>454</v>
      </c>
      <c r="BR21" s="339">
        <v>989</v>
      </c>
      <c r="BS21" s="267"/>
    </row>
    <row r="22" spans="1:71" ht="16.5" customHeight="1">
      <c r="A22" s="282"/>
      <c r="B22" s="283" t="s">
        <v>105</v>
      </c>
      <c r="C22" s="170"/>
      <c r="D22" s="177">
        <v>0</v>
      </c>
      <c r="E22" s="174">
        <v>0</v>
      </c>
      <c r="F22" s="174">
        <v>-1</v>
      </c>
      <c r="G22" s="174">
        <v>-251</v>
      </c>
      <c r="H22" s="174">
        <v>-252</v>
      </c>
      <c r="I22" s="278"/>
      <c r="J22" s="174">
        <v>0</v>
      </c>
      <c r="K22" s="174">
        <v>-1</v>
      </c>
      <c r="L22" s="174">
        <v>-312</v>
      </c>
      <c r="M22" s="174">
        <f>N22-SUM(J22:L22)</f>
        <v>-4144</v>
      </c>
      <c r="N22" s="174">
        <v>-4457</v>
      </c>
      <c r="O22" s="278"/>
      <c r="P22" s="174">
        <v>-221</v>
      </c>
      <c r="Q22" s="174">
        <v>-255</v>
      </c>
      <c r="R22" s="174">
        <v>-351</v>
      </c>
      <c r="S22" s="174">
        <v>-373</v>
      </c>
      <c r="T22" s="174">
        <v>-1200</v>
      </c>
      <c r="U22" s="278"/>
      <c r="V22" s="174">
        <v>0</v>
      </c>
      <c r="W22" s="174">
        <v>-215</v>
      </c>
      <c r="X22" s="174">
        <v>0</v>
      </c>
      <c r="Y22" s="174">
        <f>-474+215</f>
        <v>-259</v>
      </c>
      <c r="Z22" s="174">
        <f t="shared" si="0"/>
        <v>-474</v>
      </c>
      <c r="AA22" s="278"/>
      <c r="AB22" s="174">
        <v>0</v>
      </c>
      <c r="AC22" s="174">
        <v>-254</v>
      </c>
      <c r="AD22" s="174">
        <v>-4</v>
      </c>
      <c r="AE22" s="174">
        <v>-404</v>
      </c>
      <c r="AF22" s="174">
        <v>-662</v>
      </c>
      <c r="AG22" s="278"/>
      <c r="AH22" s="174">
        <v>0</v>
      </c>
      <c r="AI22" s="217">
        <v>-63</v>
      </c>
      <c r="AJ22" s="217">
        <v>-106</v>
      </c>
      <c r="AK22" s="217">
        <v>-269</v>
      </c>
      <c r="AL22" s="217">
        <v>-438</v>
      </c>
      <c r="AM22" s="217">
        <v>0</v>
      </c>
      <c r="AN22" s="217">
        <v>-210</v>
      </c>
      <c r="AO22" s="217">
        <v>4</v>
      </c>
      <c r="AP22" s="274">
        <f>AQ22-AO22-AN22-AM22</f>
        <v>2</v>
      </c>
      <c r="AQ22" s="274">
        <v>-204</v>
      </c>
      <c r="AR22" s="191">
        <v>0</v>
      </c>
      <c r="AS22" s="191">
        <v>0</v>
      </c>
      <c r="AT22" s="191">
        <v>0</v>
      </c>
      <c r="AU22" s="191">
        <v>0</v>
      </c>
      <c r="AV22" s="191">
        <v>0</v>
      </c>
      <c r="AW22" s="191">
        <v>0</v>
      </c>
      <c r="AX22" s="191">
        <v>0</v>
      </c>
      <c r="AY22" s="191">
        <v>0</v>
      </c>
      <c r="AZ22" s="191">
        <f t="shared" si="1"/>
        <v>0</v>
      </c>
      <c r="BA22" s="191">
        <v>0</v>
      </c>
      <c r="BB22" s="191">
        <v>0</v>
      </c>
      <c r="BC22" s="191">
        <v>0</v>
      </c>
      <c r="BD22" s="191">
        <v>0</v>
      </c>
      <c r="BE22" s="191">
        <v>0</v>
      </c>
      <c r="BF22" s="191">
        <v>0</v>
      </c>
      <c r="BG22" s="191">
        <v>0</v>
      </c>
      <c r="BH22" s="217">
        <v>0</v>
      </c>
      <c r="BI22" s="217">
        <v>0</v>
      </c>
      <c r="BJ22" s="217">
        <v>0</v>
      </c>
      <c r="BK22" s="217">
        <v>0</v>
      </c>
      <c r="BL22" s="217">
        <v>0</v>
      </c>
      <c r="BM22" s="217">
        <v>0</v>
      </c>
      <c r="BN22" s="217">
        <v>0</v>
      </c>
      <c r="BO22" s="217">
        <f t="shared" si="3"/>
        <v>1608</v>
      </c>
      <c r="BP22" s="217">
        <f>1458+150</f>
        <v>1608</v>
      </c>
      <c r="BQ22" s="217">
        <v>221</v>
      </c>
      <c r="BR22" s="340">
        <v>359</v>
      </c>
    </row>
    <row r="23" spans="1:71" ht="13.5" customHeight="1">
      <c r="A23" s="282"/>
      <c r="B23" s="490" t="s">
        <v>106</v>
      </c>
      <c r="C23" s="170"/>
      <c r="D23" s="177">
        <v>0</v>
      </c>
      <c r="E23" s="174">
        <v>0</v>
      </c>
      <c r="F23" s="174">
        <v>0</v>
      </c>
      <c r="G23" s="174">
        <v>-15</v>
      </c>
      <c r="H23" s="174">
        <v>-15</v>
      </c>
      <c r="I23" s="278"/>
      <c r="J23" s="174">
        <v>0</v>
      </c>
      <c r="K23" s="174">
        <v>0</v>
      </c>
      <c r="L23" s="174">
        <v>0</v>
      </c>
      <c r="M23" s="174">
        <f>N23-SUM(J23:L23)</f>
        <v>-671</v>
      </c>
      <c r="N23" s="174">
        <v>-671</v>
      </c>
      <c r="O23" s="278"/>
      <c r="P23" s="174">
        <v>0</v>
      </c>
      <c r="Q23" s="174">
        <v>0</v>
      </c>
      <c r="R23" s="174">
        <v>0</v>
      </c>
      <c r="S23" s="174">
        <v>0</v>
      </c>
      <c r="T23" s="174">
        <v>0</v>
      </c>
      <c r="U23" s="278"/>
      <c r="V23" s="174">
        <v>0</v>
      </c>
      <c r="W23" s="174">
        <v>0</v>
      </c>
      <c r="X23" s="174">
        <v>0</v>
      </c>
      <c r="Y23" s="174">
        <v>0</v>
      </c>
      <c r="Z23" s="174">
        <f t="shared" si="0"/>
        <v>0</v>
      </c>
      <c r="AA23" s="278"/>
      <c r="AB23" s="174">
        <v>0</v>
      </c>
      <c r="AC23" s="174">
        <v>0</v>
      </c>
      <c r="AD23" s="174">
        <v>0</v>
      </c>
      <c r="AE23" s="174">
        <v>0</v>
      </c>
      <c r="AF23" s="174">
        <v>0</v>
      </c>
      <c r="AG23" s="278"/>
      <c r="AH23" s="174">
        <v>0</v>
      </c>
      <c r="AI23" s="217">
        <v>0</v>
      </c>
      <c r="AJ23" s="217">
        <v>0</v>
      </c>
      <c r="AK23" s="217">
        <v>0</v>
      </c>
      <c r="AL23" s="217">
        <v>0</v>
      </c>
      <c r="AM23" s="217">
        <v>0</v>
      </c>
      <c r="AN23" s="217">
        <v>0</v>
      </c>
      <c r="AO23" s="217">
        <v>0</v>
      </c>
      <c r="AP23" s="274">
        <v>0</v>
      </c>
      <c r="AQ23" s="274">
        <v>0</v>
      </c>
      <c r="AR23" s="191">
        <v>0</v>
      </c>
      <c r="AS23" s="191">
        <v>0</v>
      </c>
      <c r="AT23" s="191">
        <v>0</v>
      </c>
      <c r="AU23" s="191">
        <v>0</v>
      </c>
      <c r="AV23" s="191">
        <v>0</v>
      </c>
      <c r="AW23" s="191">
        <v>0</v>
      </c>
      <c r="AX23" s="191">
        <v>0</v>
      </c>
      <c r="AY23" s="191">
        <v>0</v>
      </c>
      <c r="AZ23" s="191">
        <f t="shared" si="1"/>
        <v>0</v>
      </c>
      <c r="BA23" s="191">
        <v>0</v>
      </c>
      <c r="BB23" s="191">
        <v>0</v>
      </c>
      <c r="BC23" s="191">
        <v>0</v>
      </c>
      <c r="BD23" s="191">
        <v>0</v>
      </c>
      <c r="BE23" s="191">
        <v>0</v>
      </c>
      <c r="BF23" s="191">
        <v>0</v>
      </c>
      <c r="BG23" s="191">
        <v>0</v>
      </c>
      <c r="BH23" s="217">
        <v>0</v>
      </c>
      <c r="BI23" s="217">
        <v>0</v>
      </c>
      <c r="BJ23" s="217">
        <v>0</v>
      </c>
      <c r="BK23" s="217">
        <v>0</v>
      </c>
      <c r="BL23" s="217">
        <v>0</v>
      </c>
      <c r="BM23" s="217">
        <v>0</v>
      </c>
      <c r="BN23" s="217">
        <v>0</v>
      </c>
      <c r="BO23" s="217">
        <f t="shared" si="3"/>
        <v>0</v>
      </c>
      <c r="BP23" s="217">
        <v>0</v>
      </c>
      <c r="BQ23" s="217">
        <v>0</v>
      </c>
      <c r="BR23" s="340">
        <v>0</v>
      </c>
    </row>
    <row r="24" spans="1:71" ht="15.75" customHeight="1">
      <c r="A24" s="282"/>
      <c r="B24" s="283" t="s">
        <v>107</v>
      </c>
      <c r="C24" s="170"/>
      <c r="D24" s="177"/>
      <c r="E24" s="174"/>
      <c r="F24" s="174"/>
      <c r="G24" s="174"/>
      <c r="H24" s="174"/>
      <c r="I24" s="278"/>
      <c r="J24" s="174"/>
      <c r="K24" s="174"/>
      <c r="L24" s="174"/>
      <c r="M24" s="174"/>
      <c r="N24" s="174"/>
      <c r="O24" s="278"/>
      <c r="P24" s="174"/>
      <c r="Q24" s="174"/>
      <c r="R24" s="174"/>
      <c r="S24" s="174"/>
      <c r="T24" s="174"/>
      <c r="U24" s="278"/>
      <c r="V24" s="174"/>
      <c r="W24" s="174"/>
      <c r="X24" s="174"/>
      <c r="Y24" s="174"/>
      <c r="Z24" s="174"/>
      <c r="AA24" s="278"/>
      <c r="AB24" s="174"/>
      <c r="AC24" s="174"/>
      <c r="AD24" s="174"/>
      <c r="AE24" s="174"/>
      <c r="AF24" s="174"/>
      <c r="AG24" s="278"/>
      <c r="AH24" s="174"/>
      <c r="AI24" s="217"/>
      <c r="AJ24" s="217"/>
      <c r="AK24" s="217"/>
      <c r="AL24" s="217"/>
      <c r="AM24" s="217"/>
      <c r="AN24" s="217"/>
      <c r="AO24" s="217"/>
      <c r="AP24" s="274"/>
      <c r="AQ24" s="274"/>
      <c r="AR24" s="191"/>
      <c r="AS24" s="191"/>
      <c r="AT24" s="191"/>
      <c r="AU24" s="191"/>
      <c r="AV24" s="191"/>
      <c r="AW24" s="191"/>
      <c r="AX24" s="191"/>
      <c r="AY24" s="191"/>
      <c r="AZ24" s="191"/>
      <c r="BA24" s="191"/>
      <c r="BB24" s="191"/>
      <c r="BC24" s="191"/>
      <c r="BD24" s="191"/>
      <c r="BE24" s="191"/>
      <c r="BF24" s="191"/>
      <c r="BG24" s="191"/>
      <c r="BH24" s="217"/>
      <c r="BI24" s="217"/>
      <c r="BJ24" s="217"/>
      <c r="BK24" s="217"/>
      <c r="BL24" s="217"/>
      <c r="BM24" s="217"/>
      <c r="BN24" s="217"/>
      <c r="BO24" s="217">
        <f t="shared" si="3"/>
        <v>252</v>
      </c>
      <c r="BP24" s="217">
        <v>252</v>
      </c>
      <c r="BQ24" s="217">
        <v>0</v>
      </c>
      <c r="BR24" s="340">
        <v>0</v>
      </c>
    </row>
    <row r="25" spans="1:71" ht="22.5" customHeight="1">
      <c r="A25" s="282"/>
      <c r="B25" s="490" t="s">
        <v>108</v>
      </c>
      <c r="C25" s="170"/>
      <c r="D25" s="177">
        <v>0</v>
      </c>
      <c r="E25" s="174">
        <v>0</v>
      </c>
      <c r="F25" s="174">
        <v>0</v>
      </c>
      <c r="G25" s="174">
        <v>0</v>
      </c>
      <c r="H25" s="174">
        <v>0</v>
      </c>
      <c r="I25" s="278"/>
      <c r="J25" s="174">
        <v>0</v>
      </c>
      <c r="K25" s="174">
        <v>0</v>
      </c>
      <c r="L25" s="174">
        <v>0</v>
      </c>
      <c r="M25" s="174">
        <f>N25-SUM(J25:L25)</f>
        <v>0</v>
      </c>
      <c r="N25" s="174">
        <v>0</v>
      </c>
      <c r="O25" s="278"/>
      <c r="P25" s="174">
        <v>0</v>
      </c>
      <c r="Q25" s="174">
        <v>0</v>
      </c>
      <c r="R25" s="174">
        <v>0</v>
      </c>
      <c r="S25" s="174">
        <v>-4394</v>
      </c>
      <c r="T25" s="174">
        <v>-4394</v>
      </c>
      <c r="U25" s="278"/>
      <c r="V25" s="174">
        <v>0</v>
      </c>
      <c r="W25" s="174">
        <v>0</v>
      </c>
      <c r="X25" s="174">
        <v>0</v>
      </c>
      <c r="Y25" s="174">
        <v>0</v>
      </c>
      <c r="Z25" s="174">
        <f t="shared" si="0"/>
        <v>0</v>
      </c>
      <c r="AA25" s="278"/>
      <c r="AB25" s="174">
        <v>0</v>
      </c>
      <c r="AC25" s="174">
        <v>0</v>
      </c>
      <c r="AD25" s="174">
        <v>0</v>
      </c>
      <c r="AE25" s="174">
        <v>733</v>
      </c>
      <c r="AF25" s="174">
        <v>733</v>
      </c>
      <c r="AG25" s="278"/>
      <c r="AH25" s="174">
        <v>0</v>
      </c>
      <c r="AI25" s="217">
        <v>0</v>
      </c>
      <c r="AJ25" s="217">
        <v>0</v>
      </c>
      <c r="AK25" s="217">
        <v>106</v>
      </c>
      <c r="AL25" s="217">
        <v>106</v>
      </c>
      <c r="AM25" s="217">
        <v>0</v>
      </c>
      <c r="AN25" s="217">
        <v>0</v>
      </c>
      <c r="AO25" s="217">
        <v>0</v>
      </c>
      <c r="AP25" s="274">
        <v>0</v>
      </c>
      <c r="AQ25" s="274">
        <v>0</v>
      </c>
      <c r="AR25" s="191">
        <v>0</v>
      </c>
      <c r="AS25" s="217">
        <v>1655</v>
      </c>
      <c r="AT25" s="217">
        <v>0</v>
      </c>
      <c r="AU25" s="217">
        <v>725</v>
      </c>
      <c r="AV25" s="217">
        <v>2380</v>
      </c>
      <c r="AW25" s="217">
        <v>64</v>
      </c>
      <c r="AX25" s="217">
        <v>719</v>
      </c>
      <c r="AY25" s="217">
        <v>0</v>
      </c>
      <c r="AZ25" s="217">
        <f t="shared" si="1"/>
        <v>90</v>
      </c>
      <c r="BA25" s="217">
        <v>873</v>
      </c>
      <c r="BB25" s="217">
        <v>0</v>
      </c>
      <c r="BC25" s="217">
        <v>482</v>
      </c>
      <c r="BD25" s="217">
        <v>11</v>
      </c>
      <c r="BE25" s="217">
        <v>-392</v>
      </c>
      <c r="BF25" s="217">
        <v>101</v>
      </c>
      <c r="BG25" s="217">
        <v>0</v>
      </c>
      <c r="BH25" s="217">
        <v>0</v>
      </c>
      <c r="BI25" s="217">
        <v>0</v>
      </c>
      <c r="BJ25" s="217">
        <v>226</v>
      </c>
      <c r="BK25" s="217">
        <v>226</v>
      </c>
      <c r="BL25" s="217">
        <v>3</v>
      </c>
      <c r="BM25" s="217">
        <v>148</v>
      </c>
      <c r="BN25" s="217">
        <v>7</v>
      </c>
      <c r="BO25" s="217">
        <f t="shared" si="3"/>
        <v>326</v>
      </c>
      <c r="BP25" s="217">
        <v>484</v>
      </c>
      <c r="BQ25" s="217">
        <v>103</v>
      </c>
      <c r="BR25" s="340">
        <v>502</v>
      </c>
    </row>
    <row r="26" spans="1:71" ht="12.75" customHeight="1">
      <c r="A26" s="282"/>
      <c r="B26" s="491" t="s">
        <v>109</v>
      </c>
      <c r="C26" s="170"/>
      <c r="D26" s="177"/>
      <c r="E26" s="174"/>
      <c r="F26" s="174"/>
      <c r="G26" s="174"/>
      <c r="H26" s="174"/>
      <c r="I26" s="278"/>
      <c r="J26" s="174"/>
      <c r="K26" s="174"/>
      <c r="L26" s="174"/>
      <c r="M26" s="174"/>
      <c r="N26" s="174"/>
      <c r="O26" s="278"/>
      <c r="P26" s="174"/>
      <c r="Q26" s="174"/>
      <c r="R26" s="174"/>
      <c r="S26" s="174"/>
      <c r="T26" s="174"/>
      <c r="U26" s="278"/>
      <c r="V26" s="174"/>
      <c r="W26" s="174"/>
      <c r="X26" s="174"/>
      <c r="Y26" s="174"/>
      <c r="Z26" s="174"/>
      <c r="AA26" s="278"/>
      <c r="AB26" s="174"/>
      <c r="AC26" s="174"/>
      <c r="AD26" s="174"/>
      <c r="AE26" s="174"/>
      <c r="AF26" s="174"/>
      <c r="AG26" s="278"/>
      <c r="AH26" s="174"/>
      <c r="AI26" s="217"/>
      <c r="AJ26" s="217"/>
      <c r="AK26" s="217"/>
      <c r="AL26" s="217"/>
      <c r="AM26" s="217"/>
      <c r="AN26" s="217"/>
      <c r="AO26" s="217"/>
      <c r="AP26" s="274"/>
      <c r="AQ26" s="274"/>
      <c r="AR26" s="191"/>
      <c r="AS26" s="217"/>
      <c r="AT26" s="191">
        <v>0</v>
      </c>
      <c r="AU26" s="191">
        <v>0</v>
      </c>
      <c r="AV26" s="191">
        <v>0</v>
      </c>
      <c r="AW26" s="191">
        <v>0</v>
      </c>
      <c r="AX26" s="191">
        <v>0</v>
      </c>
      <c r="AY26" s="191">
        <v>0</v>
      </c>
      <c r="AZ26" s="191">
        <f>BA26-AY26-AX26-AW26</f>
        <v>0</v>
      </c>
      <c r="BA26" s="191">
        <v>0</v>
      </c>
      <c r="BB26" s="191">
        <v>0</v>
      </c>
      <c r="BC26" s="191">
        <v>0</v>
      </c>
      <c r="BD26" s="191">
        <v>0</v>
      </c>
      <c r="BE26" s="191">
        <v>0</v>
      </c>
      <c r="BF26" s="191">
        <v>0</v>
      </c>
      <c r="BG26" s="191">
        <v>0</v>
      </c>
      <c r="BH26" s="217">
        <v>-407</v>
      </c>
      <c r="BI26" s="217">
        <v>154</v>
      </c>
      <c r="BJ26" s="217">
        <v>253</v>
      </c>
      <c r="BK26" s="217">
        <f t="shared" ref="BK26:BK40" si="7">BG26+BH26+BI26+BJ26</f>
        <v>0</v>
      </c>
      <c r="BL26" s="217">
        <v>0</v>
      </c>
      <c r="BM26" s="217">
        <v>0</v>
      </c>
      <c r="BN26" s="217">
        <v>0</v>
      </c>
      <c r="BO26" s="217">
        <f t="shared" si="3"/>
        <v>0</v>
      </c>
      <c r="BP26" s="217">
        <v>0</v>
      </c>
      <c r="BQ26" s="217">
        <v>0</v>
      </c>
      <c r="BR26" s="340">
        <v>0</v>
      </c>
    </row>
    <row r="27" spans="1:71" ht="12" customHeight="1">
      <c r="A27" s="276"/>
      <c r="B27" s="492" t="s">
        <v>110</v>
      </c>
      <c r="C27" s="3"/>
      <c r="D27" s="177">
        <v>60</v>
      </c>
      <c r="E27" s="174">
        <v>66</v>
      </c>
      <c r="F27" s="174">
        <v>75</v>
      </c>
      <c r="G27" s="174">
        <v>81</v>
      </c>
      <c r="H27" s="174">
        <v>282</v>
      </c>
      <c r="I27" s="278"/>
      <c r="J27" s="174">
        <v>82</v>
      </c>
      <c r="K27" s="174">
        <v>95</v>
      </c>
      <c r="L27" s="174">
        <v>142</v>
      </c>
      <c r="M27" s="174">
        <f>N27-SUM(J27:L27)</f>
        <v>147</v>
      </c>
      <c r="N27" s="174">
        <v>466</v>
      </c>
      <c r="O27" s="278"/>
      <c r="P27" s="174">
        <v>153</v>
      </c>
      <c r="Q27" s="174">
        <v>153</v>
      </c>
      <c r="R27" s="174">
        <v>159</v>
      </c>
      <c r="S27" s="174">
        <v>168</v>
      </c>
      <c r="T27" s="174">
        <v>633</v>
      </c>
      <c r="U27" s="278"/>
      <c r="V27" s="174">
        <v>82</v>
      </c>
      <c r="W27" s="174">
        <v>79</v>
      </c>
      <c r="X27" s="174">
        <v>79</v>
      </c>
      <c r="Y27" s="174">
        <f>319-V27-W27-X27</f>
        <v>79</v>
      </c>
      <c r="Z27" s="174">
        <f t="shared" si="0"/>
        <v>319</v>
      </c>
      <c r="AA27" s="278"/>
      <c r="AB27" s="174">
        <v>81</v>
      </c>
      <c r="AC27" s="174">
        <v>45</v>
      </c>
      <c r="AD27" s="174">
        <v>66</v>
      </c>
      <c r="AE27" s="174">
        <v>65</v>
      </c>
      <c r="AF27" s="174">
        <v>257</v>
      </c>
      <c r="AG27" s="278"/>
      <c r="AH27" s="174">
        <v>82</v>
      </c>
      <c r="AI27" s="217">
        <v>84</v>
      </c>
      <c r="AJ27" s="217">
        <v>89</v>
      </c>
      <c r="AK27" s="217">
        <v>86</v>
      </c>
      <c r="AL27" s="217">
        <v>341</v>
      </c>
      <c r="AM27" s="217">
        <v>96</v>
      </c>
      <c r="AN27" s="217">
        <v>97</v>
      </c>
      <c r="AO27" s="217">
        <v>91</v>
      </c>
      <c r="AP27" s="279">
        <v>93</v>
      </c>
      <c r="AQ27" s="279">
        <v>377</v>
      </c>
      <c r="AR27" s="217">
        <v>97</v>
      </c>
      <c r="AS27" s="217">
        <v>97</v>
      </c>
      <c r="AT27" s="217">
        <v>128</v>
      </c>
      <c r="AU27" s="217">
        <v>172</v>
      </c>
      <c r="AV27" s="217">
        <v>494</v>
      </c>
      <c r="AW27" s="217">
        <v>183</v>
      </c>
      <c r="AX27" s="217">
        <v>136</v>
      </c>
      <c r="AY27" s="217">
        <v>158</v>
      </c>
      <c r="AZ27" s="217">
        <f t="shared" si="1"/>
        <v>105</v>
      </c>
      <c r="BA27" s="217">
        <v>582</v>
      </c>
      <c r="BB27" s="217">
        <v>147</v>
      </c>
      <c r="BC27" s="217">
        <v>145</v>
      </c>
      <c r="BD27" s="217">
        <v>154</v>
      </c>
      <c r="BE27" s="217">
        <v>151</v>
      </c>
      <c r="BF27" s="217">
        <v>597</v>
      </c>
      <c r="BG27" s="217">
        <v>144</v>
      </c>
      <c r="BH27" s="217">
        <v>147</v>
      </c>
      <c r="BI27" s="217">
        <v>139</v>
      </c>
      <c r="BJ27" s="217">
        <v>122</v>
      </c>
      <c r="BK27" s="217">
        <f t="shared" si="7"/>
        <v>552</v>
      </c>
      <c r="BL27" s="217">
        <v>147</v>
      </c>
      <c r="BM27" s="217">
        <v>140</v>
      </c>
      <c r="BN27" s="217">
        <v>137</v>
      </c>
      <c r="BO27" s="217">
        <f t="shared" si="3"/>
        <v>133</v>
      </c>
      <c r="BP27" s="217">
        <v>557</v>
      </c>
      <c r="BQ27" s="217">
        <v>130</v>
      </c>
      <c r="BR27" s="340">
        <v>128</v>
      </c>
    </row>
    <row r="28" spans="1:71" s="275" customFormat="1">
      <c r="A28" s="372"/>
      <c r="B28" s="493" t="s">
        <v>111</v>
      </c>
      <c r="C28" s="272"/>
      <c r="D28" s="175">
        <f>SUM(D29:D31)</f>
        <v>-46</v>
      </c>
      <c r="E28" s="173">
        <f>SUM(E29:E31)</f>
        <v>-5</v>
      </c>
      <c r="F28" s="173">
        <f>SUM(F29:F31)</f>
        <v>74</v>
      </c>
      <c r="G28" s="173">
        <f>SUM(G29:G31)</f>
        <v>40</v>
      </c>
      <c r="H28" s="173">
        <f>SUM(H29:H31)</f>
        <v>63</v>
      </c>
      <c r="I28" s="273"/>
      <c r="J28" s="173">
        <f>SUM(J29:J31)</f>
        <v>-92</v>
      </c>
      <c r="K28" s="173">
        <f>SUM(K29:K31)</f>
        <v>15</v>
      </c>
      <c r="L28" s="173">
        <f>SUM(L29:L31)</f>
        <v>45</v>
      </c>
      <c r="M28" s="173">
        <f>SUM(M29:M31)</f>
        <v>-71</v>
      </c>
      <c r="N28" s="173">
        <f>SUM(N29:N31)</f>
        <v>-103</v>
      </c>
      <c r="O28" s="273"/>
      <c r="P28" s="173">
        <f>SUM(P29:P31)</f>
        <v>-252</v>
      </c>
      <c r="Q28" s="173">
        <f>SUM(Q29:Q31)</f>
        <v>203</v>
      </c>
      <c r="R28" s="173">
        <f>SUM(R29:R31)</f>
        <v>-164</v>
      </c>
      <c r="S28" s="173">
        <f>SUM(S29:S31)</f>
        <v>677</v>
      </c>
      <c r="T28" s="173">
        <f>SUM(T29:T31)</f>
        <v>464</v>
      </c>
      <c r="U28" s="273"/>
      <c r="V28" s="173">
        <f>SUM(V29:V31)</f>
        <v>-426</v>
      </c>
      <c r="W28" s="173">
        <f>SUM(W29:W31)</f>
        <v>-432</v>
      </c>
      <c r="X28" s="173">
        <f>SUM(X29:X31)</f>
        <v>-203</v>
      </c>
      <c r="Y28" s="173">
        <f>SUM(Y29:Y31)</f>
        <v>-543</v>
      </c>
      <c r="Z28" s="173">
        <f t="shared" si="0"/>
        <v>-1604</v>
      </c>
      <c r="AA28" s="273"/>
      <c r="AB28" s="173">
        <v>-191</v>
      </c>
      <c r="AC28" s="173">
        <v>554</v>
      </c>
      <c r="AD28" s="173">
        <v>-184</v>
      </c>
      <c r="AE28" s="173">
        <f>SUM(AE29:AE31)</f>
        <v>175</v>
      </c>
      <c r="AF28" s="173">
        <f>SUM(AF29:AF31)</f>
        <v>368</v>
      </c>
      <c r="AG28" s="273"/>
      <c r="AH28" s="173">
        <f>SUM(AH29:AH31)</f>
        <v>197</v>
      </c>
      <c r="AI28" s="191">
        <f>SUM(AI29:AI31)</f>
        <v>-167</v>
      </c>
      <c r="AJ28" s="191">
        <f>SUM(AJ29:AJ31)</f>
        <v>720</v>
      </c>
      <c r="AK28" s="191">
        <v>-564</v>
      </c>
      <c r="AL28" s="191">
        <v>186</v>
      </c>
      <c r="AM28" s="191">
        <f>1182-342</f>
        <v>840</v>
      </c>
      <c r="AN28" s="191">
        <v>-680</v>
      </c>
      <c r="AO28" s="191">
        <f>SUM(AO29:AO31)</f>
        <v>-389</v>
      </c>
      <c r="AP28" s="274">
        <v>-395</v>
      </c>
      <c r="AQ28" s="274">
        <v>-624</v>
      </c>
      <c r="AR28" s="191">
        <v>625</v>
      </c>
      <c r="AS28" s="191">
        <v>-442</v>
      </c>
      <c r="AT28" s="191">
        <v>448</v>
      </c>
      <c r="AU28" s="191">
        <v>80</v>
      </c>
      <c r="AV28" s="191">
        <v>711</v>
      </c>
      <c r="AW28" s="191">
        <v>567</v>
      </c>
      <c r="AX28" s="191">
        <f>972</f>
        <v>972</v>
      </c>
      <c r="AY28" s="191">
        <f>1428-353</f>
        <v>1075</v>
      </c>
      <c r="AZ28" s="191">
        <f t="shared" si="1"/>
        <v>-1652</v>
      </c>
      <c r="BA28" s="191">
        <v>962</v>
      </c>
      <c r="BB28" s="191">
        <v>-370</v>
      </c>
      <c r="BC28" s="191">
        <f>179-758</f>
        <v>-579</v>
      </c>
      <c r="BD28" s="191">
        <v>697</v>
      </c>
      <c r="BE28" s="191">
        <v>-2565</v>
      </c>
      <c r="BF28" s="191">
        <v>-2817</v>
      </c>
      <c r="BG28" s="191">
        <v>80</v>
      </c>
      <c r="BH28" s="191">
        <v>88</v>
      </c>
      <c r="BI28" s="191">
        <v>-800</v>
      </c>
      <c r="BJ28" s="191">
        <v>1076</v>
      </c>
      <c r="BK28" s="191">
        <f t="shared" si="7"/>
        <v>444</v>
      </c>
      <c r="BL28" s="191">
        <v>-637</v>
      </c>
      <c r="BM28" s="191">
        <f>95-861</f>
        <v>-766</v>
      </c>
      <c r="BN28" s="191">
        <f>136-159</f>
        <v>-23</v>
      </c>
      <c r="BO28" s="191">
        <f t="shared" si="3"/>
        <v>-197</v>
      </c>
      <c r="BP28" s="191">
        <f>661-2284</f>
        <v>-1623</v>
      </c>
      <c r="BQ28" s="191">
        <v>429</v>
      </c>
      <c r="BR28" s="339">
        <v>136</v>
      </c>
    </row>
    <row r="29" spans="1:71" ht="22.5">
      <c r="A29" s="276"/>
      <c r="B29" s="494" t="s">
        <v>112</v>
      </c>
      <c r="C29" s="3"/>
      <c r="D29" s="177">
        <v>-9</v>
      </c>
      <c r="E29" s="174">
        <v>3</v>
      </c>
      <c r="F29" s="174">
        <v>55</v>
      </c>
      <c r="G29" s="174">
        <v>97</v>
      </c>
      <c r="H29" s="174">
        <v>146</v>
      </c>
      <c r="I29" s="278"/>
      <c r="J29" s="174">
        <v>134</v>
      </c>
      <c r="K29" s="174">
        <v>-99</v>
      </c>
      <c r="L29" s="174">
        <v>2</v>
      </c>
      <c r="M29" s="174">
        <v>106</v>
      </c>
      <c r="N29" s="174">
        <v>143</v>
      </c>
      <c r="O29" s="278"/>
      <c r="P29" s="174">
        <v>-298</v>
      </c>
      <c r="Q29" s="174">
        <v>408</v>
      </c>
      <c r="R29" s="174">
        <v>-265</v>
      </c>
      <c r="S29" s="174">
        <v>666</v>
      </c>
      <c r="T29" s="174">
        <v>511</v>
      </c>
      <c r="U29" s="278"/>
      <c r="V29" s="174">
        <f>-815+312</f>
        <v>-503</v>
      </c>
      <c r="W29" s="174">
        <f>-794+336</f>
        <v>-458</v>
      </c>
      <c r="X29" s="174">
        <v>-115</v>
      </c>
      <c r="Y29" s="174">
        <f>-1466+503+458+115</f>
        <v>-390</v>
      </c>
      <c r="Z29" s="174">
        <f t="shared" si="0"/>
        <v>-1466</v>
      </c>
      <c r="AA29" s="278"/>
      <c r="AB29" s="174">
        <v>-183</v>
      </c>
      <c r="AC29" s="174">
        <v>720</v>
      </c>
      <c r="AD29" s="174">
        <v>-159</v>
      </c>
      <c r="AE29" s="174">
        <v>215</v>
      </c>
      <c r="AF29" s="174">
        <v>593</v>
      </c>
      <c r="AG29" s="278"/>
      <c r="AH29" s="174">
        <v>211</v>
      </c>
      <c r="AI29" s="217">
        <v>-217</v>
      </c>
      <c r="AJ29" s="217">
        <v>724</v>
      </c>
      <c r="AK29" s="217">
        <v>-547</v>
      </c>
      <c r="AL29" s="217">
        <v>171</v>
      </c>
      <c r="AM29" s="217">
        <v>951</v>
      </c>
      <c r="AN29" s="217">
        <v>-687</v>
      </c>
      <c r="AO29" s="217">
        <v>-318</v>
      </c>
      <c r="AP29" s="279">
        <v>-337</v>
      </c>
      <c r="AQ29" s="279">
        <v>-391</v>
      </c>
      <c r="AR29" s="217">
        <v>709</v>
      </c>
      <c r="AS29" s="217">
        <v>-482</v>
      </c>
      <c r="AT29" s="217">
        <v>549</v>
      </c>
      <c r="AU29" s="217">
        <v>218</v>
      </c>
      <c r="AV29" s="217">
        <v>994</v>
      </c>
      <c r="AW29" s="217">
        <v>389</v>
      </c>
      <c r="AX29" s="217">
        <v>859</v>
      </c>
      <c r="AY29" s="217">
        <v>1220</v>
      </c>
      <c r="AZ29" s="217">
        <f t="shared" si="1"/>
        <v>-1519</v>
      </c>
      <c r="BA29" s="217">
        <v>949</v>
      </c>
      <c r="BB29" s="217">
        <v>-305</v>
      </c>
      <c r="BC29" s="217">
        <v>-550</v>
      </c>
      <c r="BD29" s="217">
        <v>715</v>
      </c>
      <c r="BE29" s="217">
        <v>-1274</v>
      </c>
      <c r="BF29" s="217">
        <v>-1414</v>
      </c>
      <c r="BG29" s="217">
        <v>158</v>
      </c>
      <c r="BH29" s="217">
        <v>145</v>
      </c>
      <c r="BI29" s="217">
        <v>-680</v>
      </c>
      <c r="BJ29" s="217">
        <v>932</v>
      </c>
      <c r="BK29" s="217">
        <f t="shared" si="7"/>
        <v>555</v>
      </c>
      <c r="BL29" s="217">
        <v>-680</v>
      </c>
      <c r="BM29" s="217">
        <v>-734</v>
      </c>
      <c r="BN29" s="217">
        <v>21</v>
      </c>
      <c r="BO29" s="217">
        <f t="shared" si="3"/>
        <v>-105</v>
      </c>
      <c r="BP29" s="217">
        <v>-1498</v>
      </c>
      <c r="BQ29" s="217">
        <v>351</v>
      </c>
      <c r="BR29" s="340">
        <v>76</v>
      </c>
    </row>
    <row r="30" spans="1:71">
      <c r="A30" s="276"/>
      <c r="B30" s="494" t="s">
        <v>113</v>
      </c>
      <c r="C30" s="3"/>
      <c r="D30" s="177">
        <v>-67</v>
      </c>
      <c r="E30" s="174">
        <v>-37</v>
      </c>
      <c r="F30" s="174">
        <v>-4</v>
      </c>
      <c r="G30" s="174">
        <v>-64</v>
      </c>
      <c r="H30" s="174">
        <v>-172</v>
      </c>
      <c r="I30" s="278"/>
      <c r="J30" s="174">
        <v>-233</v>
      </c>
      <c r="K30" s="174">
        <v>60</v>
      </c>
      <c r="L30" s="174">
        <v>52</v>
      </c>
      <c r="M30" s="174">
        <v>-119</v>
      </c>
      <c r="N30" s="174">
        <v>-240</v>
      </c>
      <c r="O30" s="278"/>
      <c r="P30" s="174">
        <v>52</v>
      </c>
      <c r="Q30" s="174">
        <v>-221</v>
      </c>
      <c r="R30" s="174">
        <v>86</v>
      </c>
      <c r="S30" s="174">
        <v>-121</v>
      </c>
      <c r="T30" s="174">
        <v>-204</v>
      </c>
      <c r="U30" s="278"/>
      <c r="V30" s="174">
        <f>156-86</f>
        <v>70</v>
      </c>
      <c r="W30" s="174">
        <f>75-71</f>
        <v>4</v>
      </c>
      <c r="X30" s="174">
        <v>-120</v>
      </c>
      <c r="Y30" s="174">
        <f>-261-70-4+120</f>
        <v>-215</v>
      </c>
      <c r="Z30" s="174">
        <f t="shared" si="0"/>
        <v>-261</v>
      </c>
      <c r="AA30" s="278"/>
      <c r="AB30" s="174">
        <v>-2</v>
      </c>
      <c r="AC30" s="174">
        <v>2</v>
      </c>
      <c r="AD30" s="174">
        <f>-78+25</f>
        <v>-53</v>
      </c>
      <c r="AE30" s="174">
        <v>-36</v>
      </c>
      <c r="AF30" s="174">
        <f>216-305</f>
        <v>-89</v>
      </c>
      <c r="AG30" s="278"/>
      <c r="AH30" s="174">
        <f>50-65</f>
        <v>-15</v>
      </c>
      <c r="AI30" s="217">
        <f>60-58</f>
        <v>2</v>
      </c>
      <c r="AJ30" s="217">
        <f>39-62</f>
        <v>-23</v>
      </c>
      <c r="AK30" s="217">
        <f>50-93</f>
        <v>-43</v>
      </c>
      <c r="AL30" s="217">
        <v>-79</v>
      </c>
      <c r="AM30" s="217">
        <f>159-236</f>
        <v>-77</v>
      </c>
      <c r="AN30" s="217">
        <v>-39</v>
      </c>
      <c r="AO30" s="217">
        <v>-70</v>
      </c>
      <c r="AP30" s="279">
        <v>-33</v>
      </c>
      <c r="AQ30" s="279">
        <v>-219</v>
      </c>
      <c r="AR30" s="217">
        <v>-185</v>
      </c>
      <c r="AS30" s="217">
        <v>53</v>
      </c>
      <c r="AT30" s="217">
        <v>-136</v>
      </c>
      <c r="AU30" s="217">
        <v>-117</v>
      </c>
      <c r="AV30" s="217">
        <v>-385</v>
      </c>
      <c r="AW30" s="217">
        <v>-56</v>
      </c>
      <c r="AX30" s="217">
        <v>63</v>
      </c>
      <c r="AY30" s="217">
        <v>-102</v>
      </c>
      <c r="AZ30" s="217">
        <f t="shared" si="1"/>
        <v>-125</v>
      </c>
      <c r="BA30" s="217">
        <v>-220</v>
      </c>
      <c r="BB30" s="217">
        <v>-13</v>
      </c>
      <c r="BC30" s="217">
        <f>70-106</f>
        <v>-36</v>
      </c>
      <c r="BD30" s="217">
        <v>-87</v>
      </c>
      <c r="BE30" s="217">
        <v>-131</v>
      </c>
      <c r="BF30" s="217">
        <v>-267</v>
      </c>
      <c r="BG30" s="217">
        <v>-16</v>
      </c>
      <c r="BH30" s="217">
        <v>-11</v>
      </c>
      <c r="BI30" s="217">
        <v>-9</v>
      </c>
      <c r="BJ30" s="217">
        <f>41+46</f>
        <v>87</v>
      </c>
      <c r="BK30" s="217">
        <f>BG30+BH30+BI30+BJ30</f>
        <v>51</v>
      </c>
      <c r="BL30" s="217">
        <v>-103</v>
      </c>
      <c r="BM30" s="217">
        <f>27-28</f>
        <v>-1</v>
      </c>
      <c r="BN30" s="217">
        <f>49-85</f>
        <v>-36</v>
      </c>
      <c r="BO30" s="217">
        <f t="shared" si="3"/>
        <v>-120</v>
      </c>
      <c r="BP30" s="217">
        <f>197-457</f>
        <v>-260</v>
      </c>
      <c r="BQ30" s="217">
        <v>68</v>
      </c>
      <c r="BR30" s="340">
        <f>77-52</f>
        <v>25</v>
      </c>
    </row>
    <row r="31" spans="1:71">
      <c r="A31" s="276"/>
      <c r="B31" s="495" t="s">
        <v>114</v>
      </c>
      <c r="C31" s="3"/>
      <c r="D31" s="177">
        <v>30</v>
      </c>
      <c r="E31" s="174">
        <v>29</v>
      </c>
      <c r="F31" s="174">
        <v>23</v>
      </c>
      <c r="G31" s="174">
        <v>7</v>
      </c>
      <c r="H31" s="174">
        <v>89</v>
      </c>
      <c r="I31" s="278"/>
      <c r="J31" s="174">
        <v>7</v>
      </c>
      <c r="K31" s="174">
        <v>54</v>
      </c>
      <c r="L31" s="174">
        <v>-9</v>
      </c>
      <c r="M31" s="174">
        <f>-58</f>
        <v>-58</v>
      </c>
      <c r="N31" s="174">
        <v>-6</v>
      </c>
      <c r="O31" s="278">
        <v>0</v>
      </c>
      <c r="P31" s="174">
        <v>-6</v>
      </c>
      <c r="Q31" s="174">
        <v>16</v>
      </c>
      <c r="R31" s="174">
        <f>15</f>
        <v>15</v>
      </c>
      <c r="S31" s="174">
        <f>-53+185</f>
        <v>132</v>
      </c>
      <c r="T31" s="174">
        <v>157</v>
      </c>
      <c r="U31" s="278"/>
      <c r="V31" s="174">
        <f>59-52</f>
        <v>7</v>
      </c>
      <c r="W31" s="174">
        <f>44-22</f>
        <v>22</v>
      </c>
      <c r="X31" s="174">
        <v>32</v>
      </c>
      <c r="Y31" s="174">
        <v>62</v>
      </c>
      <c r="Z31" s="174">
        <f t="shared" si="0"/>
        <v>123</v>
      </c>
      <c r="AA31" s="278"/>
      <c r="AB31" s="174">
        <v>4</v>
      </c>
      <c r="AC31" s="174">
        <v>-164</v>
      </c>
      <c r="AD31" s="174">
        <f>2+54-3-3-22</f>
        <v>28</v>
      </c>
      <c r="AE31" s="174">
        <v>-4</v>
      </c>
      <c r="AF31" s="174">
        <v>-136</v>
      </c>
      <c r="AG31" s="278"/>
      <c r="AH31" s="174">
        <v>1</v>
      </c>
      <c r="AI31" s="217">
        <f>-167+215</f>
        <v>48</v>
      </c>
      <c r="AJ31" s="217">
        <f>2+7+54-9-35</f>
        <v>19</v>
      </c>
      <c r="AK31" s="217">
        <v>29</v>
      </c>
      <c r="AL31" s="217">
        <v>97</v>
      </c>
      <c r="AM31" s="217">
        <v>-34</v>
      </c>
      <c r="AN31" s="217">
        <v>48</v>
      </c>
      <c r="AO31" s="217">
        <v>-1</v>
      </c>
      <c r="AP31" s="279">
        <v>-25</v>
      </c>
      <c r="AQ31" s="279">
        <v>-12</v>
      </c>
      <c r="AR31" s="217">
        <v>101</v>
      </c>
      <c r="AS31" s="217">
        <v>-13</v>
      </c>
      <c r="AT31" s="217">
        <v>35</v>
      </c>
      <c r="AU31" s="217">
        <v>-21</v>
      </c>
      <c r="AV31" s="217">
        <v>102</v>
      </c>
      <c r="AW31" s="217">
        <v>234</v>
      </c>
      <c r="AX31" s="217">
        <v>50</v>
      </c>
      <c r="AY31" s="217">
        <v>-43</v>
      </c>
      <c r="AZ31" s="217">
        <f t="shared" si="1"/>
        <v>-8</v>
      </c>
      <c r="BA31" s="217">
        <v>233</v>
      </c>
      <c r="BB31" s="217">
        <v>-52</v>
      </c>
      <c r="BC31" s="217">
        <v>7</v>
      </c>
      <c r="BD31" s="217">
        <v>69</v>
      </c>
      <c r="BE31" s="217">
        <v>-1160</v>
      </c>
      <c r="BF31" s="217">
        <v>-1136</v>
      </c>
      <c r="BG31" s="217">
        <v>-62</v>
      </c>
      <c r="BH31" s="217">
        <v>-46</v>
      </c>
      <c r="BI31" s="217">
        <f>-115+4</f>
        <v>-111</v>
      </c>
      <c r="BJ31" s="217">
        <v>57</v>
      </c>
      <c r="BK31" s="217">
        <f t="shared" si="7"/>
        <v>-162</v>
      </c>
      <c r="BL31" s="217">
        <v>146</v>
      </c>
      <c r="BM31" s="217">
        <v>-31</v>
      </c>
      <c r="BN31" s="217">
        <v>-8</v>
      </c>
      <c r="BO31" s="217">
        <f t="shared" si="3"/>
        <v>28</v>
      </c>
      <c r="BP31" s="217">
        <v>135</v>
      </c>
      <c r="BQ31" s="217">
        <v>10</v>
      </c>
      <c r="BR31" s="340">
        <v>35</v>
      </c>
    </row>
    <row r="32" spans="1:71" s="275" customFormat="1" ht="11.25" customHeight="1">
      <c r="A32" s="372"/>
      <c r="B32" s="489" t="s">
        <v>115</v>
      </c>
      <c r="C32" s="272"/>
      <c r="D32" s="175">
        <f>SUM(D33:D37)</f>
        <v>-49</v>
      </c>
      <c r="E32" s="173">
        <f>SUM(E33:E37)</f>
        <v>-50</v>
      </c>
      <c r="F32" s="173">
        <f>SUM(F33:F37)</f>
        <v>-128</v>
      </c>
      <c r="G32" s="173">
        <f>SUM(G33:G37)</f>
        <v>-99</v>
      </c>
      <c r="H32" s="173">
        <f>SUM(H33:H37)</f>
        <v>-326</v>
      </c>
      <c r="I32" s="273"/>
      <c r="J32" s="173">
        <f>SUM(J33:J37)</f>
        <v>-136</v>
      </c>
      <c r="K32" s="173">
        <f>SUM(K33:K37)</f>
        <v>-35</v>
      </c>
      <c r="L32" s="173">
        <f>SUM(L33:L37)</f>
        <v>-53</v>
      </c>
      <c r="M32" s="173">
        <f>SUM(M33:M37)</f>
        <v>-82</v>
      </c>
      <c r="N32" s="173">
        <f>SUM(N33:N37)</f>
        <v>-306</v>
      </c>
      <c r="O32" s="273"/>
      <c r="P32" s="173">
        <f>SUM(P33:P37)</f>
        <v>230</v>
      </c>
      <c r="Q32" s="173">
        <v>-389</v>
      </c>
      <c r="R32" s="173">
        <v>192</v>
      </c>
      <c r="S32" s="173">
        <f t="shared" ref="S32:Y32" si="8">SUM(S33:S37)</f>
        <v>-615</v>
      </c>
      <c r="T32" s="173">
        <f t="shared" si="8"/>
        <v>-582</v>
      </c>
      <c r="U32" s="273"/>
      <c r="V32" s="173">
        <f t="shared" si="8"/>
        <v>301</v>
      </c>
      <c r="W32" s="173">
        <f t="shared" si="8"/>
        <v>383</v>
      </c>
      <c r="X32" s="173">
        <f t="shared" si="8"/>
        <v>48</v>
      </c>
      <c r="Y32" s="173">
        <f t="shared" si="8"/>
        <v>288</v>
      </c>
      <c r="Z32" s="173">
        <f t="shared" si="0"/>
        <v>1020</v>
      </c>
      <c r="AA32" s="273"/>
      <c r="AB32" s="173">
        <v>112</v>
      </c>
      <c r="AC32" s="173">
        <v>-715</v>
      </c>
      <c r="AD32" s="173">
        <v>83</v>
      </c>
      <c r="AE32" s="173">
        <f>SUM(AE33:AE37)</f>
        <v>-241</v>
      </c>
      <c r="AF32" s="173">
        <f>SUM(AF33:AF37)</f>
        <v>-761</v>
      </c>
      <c r="AG32" s="273"/>
      <c r="AH32" s="173">
        <f>SUM(AH33:AH37)</f>
        <v>-180</v>
      </c>
      <c r="AI32" s="191">
        <f>SUM(AI33:AI37)</f>
        <v>94</v>
      </c>
      <c r="AJ32" s="191">
        <f>SUM(AJ33:AJ37)</f>
        <v>-554</v>
      </c>
      <c r="AK32" s="191">
        <v>112</v>
      </c>
      <c r="AL32" s="191">
        <v>-528</v>
      </c>
      <c r="AM32" s="191">
        <v>-502</v>
      </c>
      <c r="AN32" s="191">
        <v>326</v>
      </c>
      <c r="AO32" s="191">
        <f>SUM(AO33:AO37)</f>
        <v>100</v>
      </c>
      <c r="AP32" s="274">
        <f>AQ32-AO32-AN32-AM32</f>
        <v>48</v>
      </c>
      <c r="AQ32" s="274">
        <v>-28</v>
      </c>
      <c r="AR32" s="191">
        <v>-302</v>
      </c>
      <c r="AS32" s="191">
        <v>93</v>
      </c>
      <c r="AT32" s="191">
        <v>-165</v>
      </c>
      <c r="AU32" s="191">
        <v>-97</v>
      </c>
      <c r="AV32" s="191">
        <v>-471</v>
      </c>
      <c r="AW32" s="191">
        <v>-107</v>
      </c>
      <c r="AX32" s="191">
        <v>-251</v>
      </c>
      <c r="AY32" s="191">
        <v>-337</v>
      </c>
      <c r="AZ32" s="191">
        <f t="shared" si="1"/>
        <v>423</v>
      </c>
      <c r="BA32" s="191">
        <v>-272</v>
      </c>
      <c r="BB32" s="191">
        <v>74</v>
      </c>
      <c r="BC32" s="191">
        <v>109</v>
      </c>
      <c r="BD32" s="191">
        <v>-267</v>
      </c>
      <c r="BE32" s="191">
        <v>243</v>
      </c>
      <c r="BF32" s="191">
        <v>159</v>
      </c>
      <c r="BG32" s="191">
        <v>-107</v>
      </c>
      <c r="BH32" s="191">
        <v>-106</v>
      </c>
      <c r="BI32" s="191">
        <v>70</v>
      </c>
      <c r="BJ32" s="191">
        <v>-238</v>
      </c>
      <c r="BK32" s="191">
        <f t="shared" si="7"/>
        <v>-381</v>
      </c>
      <c r="BL32" s="191">
        <v>93</v>
      </c>
      <c r="BM32" s="191">
        <v>86</v>
      </c>
      <c r="BN32" s="191">
        <f>1-57</f>
        <v>-56</v>
      </c>
      <c r="BO32" s="191">
        <f t="shared" si="3"/>
        <v>49</v>
      </c>
      <c r="BP32" s="191">
        <f>418-246</f>
        <v>172</v>
      </c>
      <c r="BQ32" s="191">
        <v>-121</v>
      </c>
      <c r="BR32" s="339">
        <v>-36</v>
      </c>
    </row>
    <row r="33" spans="1:70" ht="11.25" customHeight="1">
      <c r="A33" s="276"/>
      <c r="B33" s="492" t="s">
        <v>116</v>
      </c>
      <c r="C33" s="3"/>
      <c r="D33" s="177">
        <v>0</v>
      </c>
      <c r="E33" s="174">
        <v>0</v>
      </c>
      <c r="F33" s="174">
        <v>0</v>
      </c>
      <c r="G33" s="174">
        <v>0</v>
      </c>
      <c r="H33" s="174">
        <v>0</v>
      </c>
      <c r="I33" s="278"/>
      <c r="J33" s="174">
        <v>0</v>
      </c>
      <c r="K33" s="174">
        <v>-2</v>
      </c>
      <c r="L33" s="174">
        <v>-11</v>
      </c>
      <c r="M33" s="174">
        <v>1</v>
      </c>
      <c r="N33" s="174">
        <v>-12</v>
      </c>
      <c r="O33" s="278"/>
      <c r="P33" s="174">
        <v>-8</v>
      </c>
      <c r="Q33" s="174">
        <v>-2</v>
      </c>
      <c r="R33" s="174">
        <v>-1</v>
      </c>
      <c r="S33" s="174">
        <v>28</v>
      </c>
      <c r="T33" s="174">
        <f>26-9</f>
        <v>17</v>
      </c>
      <c r="U33" s="278"/>
      <c r="V33" s="174">
        <v>-13</v>
      </c>
      <c r="W33" s="174">
        <v>-14</v>
      </c>
      <c r="X33" s="174">
        <v>-3</v>
      </c>
      <c r="Y33" s="174">
        <v>0</v>
      </c>
      <c r="Z33" s="174">
        <f t="shared" si="0"/>
        <v>-30</v>
      </c>
      <c r="AA33" s="278"/>
      <c r="AB33" s="174">
        <v>15</v>
      </c>
      <c r="AC33" s="174">
        <v>11</v>
      </c>
      <c r="AD33" s="174">
        <v>2</v>
      </c>
      <c r="AE33" s="174">
        <v>-17</v>
      </c>
      <c r="AF33" s="174">
        <v>11</v>
      </c>
      <c r="AG33" s="278"/>
      <c r="AH33" s="174">
        <v>-12</v>
      </c>
      <c r="AI33" s="217">
        <f>2-7</f>
        <v>-5</v>
      </c>
      <c r="AJ33" s="217">
        <v>-1</v>
      </c>
      <c r="AK33" s="217">
        <v>-4</v>
      </c>
      <c r="AL33" s="217">
        <v>-22</v>
      </c>
      <c r="AM33" s="217">
        <v>-3</v>
      </c>
      <c r="AN33" s="217">
        <v>-3</v>
      </c>
      <c r="AO33" s="217">
        <v>1</v>
      </c>
      <c r="AP33" s="279">
        <v>-2</v>
      </c>
      <c r="AQ33" s="279">
        <f>AP33+AO33+AN33+AM33</f>
        <v>-7</v>
      </c>
      <c r="AR33" s="217">
        <v>-1</v>
      </c>
      <c r="AS33" s="217">
        <v>-3</v>
      </c>
      <c r="AT33" s="217">
        <v>0</v>
      </c>
      <c r="AU33" s="217">
        <v>-6</v>
      </c>
      <c r="AV33" s="217">
        <v>-10</v>
      </c>
      <c r="AW33" s="217">
        <v>0</v>
      </c>
      <c r="AX33" s="217">
        <v>-4</v>
      </c>
      <c r="AY33" s="217">
        <v>0</v>
      </c>
      <c r="AZ33" s="217">
        <f t="shared" si="1"/>
        <v>-15</v>
      </c>
      <c r="BA33" s="217">
        <v>-19</v>
      </c>
      <c r="BB33" s="217">
        <v>0</v>
      </c>
      <c r="BC33" s="217">
        <v>-6</v>
      </c>
      <c r="BD33" s="217">
        <v>0</v>
      </c>
      <c r="BE33" s="217">
        <v>-4</v>
      </c>
      <c r="BF33" s="217">
        <v>-10</v>
      </c>
      <c r="BG33" s="217">
        <v>0</v>
      </c>
      <c r="BH33" s="217">
        <v>-6</v>
      </c>
      <c r="BI33" s="217">
        <v>0</v>
      </c>
      <c r="BJ33" s="217">
        <f>60-66</f>
        <v>-6</v>
      </c>
      <c r="BK33" s="217">
        <f t="shared" si="7"/>
        <v>-12</v>
      </c>
      <c r="BL33" s="217">
        <v>0</v>
      </c>
      <c r="BM33" s="217">
        <f>59-61</f>
        <v>-2</v>
      </c>
      <c r="BN33" s="217">
        <f>1</f>
        <v>1</v>
      </c>
      <c r="BO33" s="217">
        <f t="shared" si="3"/>
        <v>0</v>
      </c>
      <c r="BP33" s="217">
        <f>29-30</f>
        <v>-1</v>
      </c>
      <c r="BQ33" s="217">
        <v>0</v>
      </c>
      <c r="BR33" s="340">
        <v>0</v>
      </c>
    </row>
    <row r="34" spans="1:70" ht="11.25" customHeight="1">
      <c r="A34" s="276"/>
      <c r="B34" s="492" t="s">
        <v>117</v>
      </c>
      <c r="C34" s="3"/>
      <c r="D34" s="177">
        <v>-37</v>
      </c>
      <c r="E34" s="174">
        <v>-40</v>
      </c>
      <c r="F34" s="174">
        <v>-40</v>
      </c>
      <c r="G34" s="174">
        <v>-6</v>
      </c>
      <c r="H34" s="174">
        <v>-123</v>
      </c>
      <c r="I34" s="278"/>
      <c r="J34" s="174">
        <v>-49</v>
      </c>
      <c r="K34" s="174">
        <v>-78</v>
      </c>
      <c r="L34" s="174">
        <v>-11</v>
      </c>
      <c r="M34" s="174">
        <v>-18</v>
      </c>
      <c r="N34" s="174">
        <v>-156</v>
      </c>
      <c r="O34" s="278"/>
      <c r="P34" s="174">
        <v>-15</v>
      </c>
      <c r="Q34" s="174">
        <v>-16</v>
      </c>
      <c r="R34" s="174">
        <v>-18</v>
      </c>
      <c r="S34" s="174">
        <v>-36</v>
      </c>
      <c r="T34" s="174">
        <v>-85</v>
      </c>
      <c r="U34" s="278"/>
      <c r="V34" s="174">
        <v>-32</v>
      </c>
      <c r="W34" s="174">
        <v>-21</v>
      </c>
      <c r="X34" s="174">
        <v>-22</v>
      </c>
      <c r="Y34" s="174">
        <f>-96+32+21+22</f>
        <v>-21</v>
      </c>
      <c r="Z34" s="174">
        <f t="shared" si="0"/>
        <v>-96</v>
      </c>
      <c r="AA34" s="278"/>
      <c r="AB34" s="174">
        <v>-25</v>
      </c>
      <c r="AC34" s="174">
        <v>-27</v>
      </c>
      <c r="AD34" s="174">
        <v>-40</v>
      </c>
      <c r="AE34" s="174">
        <v>-1</v>
      </c>
      <c r="AF34" s="174">
        <v>-93</v>
      </c>
      <c r="AG34" s="278"/>
      <c r="AH34" s="174">
        <v>-40</v>
      </c>
      <c r="AI34" s="217">
        <v>-45</v>
      </c>
      <c r="AJ34" s="217">
        <v>3</v>
      </c>
      <c r="AK34" s="217">
        <f>-108+1</f>
        <v>-107</v>
      </c>
      <c r="AL34" s="217">
        <f>-190+1</f>
        <v>-189</v>
      </c>
      <c r="AM34" s="217">
        <f>-45+4</f>
        <v>-41</v>
      </c>
      <c r="AN34" s="217">
        <f>-51+2</f>
        <v>-49</v>
      </c>
      <c r="AO34" s="217">
        <f>-6+2</f>
        <v>-4</v>
      </c>
      <c r="AP34" s="279">
        <f>-29+4</f>
        <v>-25</v>
      </c>
      <c r="AQ34" s="279">
        <f>AP34+AO34+AN34+AM34</f>
        <v>-119</v>
      </c>
      <c r="AR34" s="217">
        <f>-21+3</f>
        <v>-18</v>
      </c>
      <c r="AS34" s="217">
        <f>-27+3</f>
        <v>-24</v>
      </c>
      <c r="AT34" s="217">
        <f>-17+2</f>
        <v>-15</v>
      </c>
      <c r="AU34" s="217">
        <v>-29</v>
      </c>
      <c r="AV34" s="217">
        <f>-94+8</f>
        <v>-86</v>
      </c>
      <c r="AW34" s="217">
        <f>-16+1</f>
        <v>-15</v>
      </c>
      <c r="AX34" s="217">
        <v>5</v>
      </c>
      <c r="AY34" s="217">
        <f>-4+1</f>
        <v>-3</v>
      </c>
      <c r="AZ34" s="217">
        <f>-3+1</f>
        <v>-2</v>
      </c>
      <c r="BA34" s="217">
        <f>-18+3</f>
        <v>-15</v>
      </c>
      <c r="BB34" s="217">
        <v>-4</v>
      </c>
      <c r="BC34" s="217">
        <f>-8+7</f>
        <v>-1</v>
      </c>
      <c r="BD34" s="217">
        <f>-24+28</f>
        <v>4</v>
      </c>
      <c r="BE34" s="217">
        <f>-40+40</f>
        <v>0</v>
      </c>
      <c r="BF34" s="217">
        <f>-76+75</f>
        <v>-1</v>
      </c>
      <c r="BG34" s="217">
        <v>-7</v>
      </c>
      <c r="BH34" s="217">
        <v>2</v>
      </c>
      <c r="BI34" s="217">
        <v>-2</v>
      </c>
      <c r="BJ34" s="217">
        <v>-3</v>
      </c>
      <c r="BK34" s="217">
        <f t="shared" si="7"/>
        <v>-10</v>
      </c>
      <c r="BL34" s="217">
        <v>-2</v>
      </c>
      <c r="BM34" s="217">
        <v>-1</v>
      </c>
      <c r="BN34" s="217">
        <v>-1</v>
      </c>
      <c r="BO34" s="217">
        <f t="shared" si="3"/>
        <v>0</v>
      </c>
      <c r="BP34" s="217">
        <v>-4</v>
      </c>
      <c r="BQ34" s="217">
        <v>-1</v>
      </c>
      <c r="BR34" s="340">
        <v>0</v>
      </c>
    </row>
    <row r="35" spans="1:70" s="51" customFormat="1" ht="11.25" customHeight="1">
      <c r="A35" s="331"/>
      <c r="B35" s="496" t="s">
        <v>118</v>
      </c>
      <c r="C35" s="332"/>
      <c r="D35" s="330"/>
      <c r="E35" s="330"/>
      <c r="F35" s="330"/>
      <c r="G35" s="330"/>
      <c r="H35" s="330"/>
      <c r="I35" s="333"/>
      <c r="J35" s="330"/>
      <c r="K35" s="330"/>
      <c r="L35" s="330"/>
      <c r="M35" s="330"/>
      <c r="N35" s="330"/>
      <c r="O35" s="333"/>
      <c r="P35" s="330"/>
      <c r="Q35" s="330"/>
      <c r="R35" s="330"/>
      <c r="S35" s="330"/>
      <c r="T35" s="330"/>
      <c r="U35" s="333"/>
      <c r="V35" s="330"/>
      <c r="W35" s="330"/>
      <c r="X35" s="330"/>
      <c r="Y35" s="330"/>
      <c r="Z35" s="330"/>
      <c r="AA35" s="333"/>
      <c r="AB35" s="330"/>
      <c r="AC35" s="330"/>
      <c r="AD35" s="330"/>
      <c r="AE35" s="330"/>
      <c r="AF35" s="330"/>
      <c r="AG35" s="333"/>
      <c r="AH35" s="330"/>
      <c r="AI35" s="330"/>
      <c r="AJ35" s="330"/>
      <c r="AK35" s="217">
        <v>-1</v>
      </c>
      <c r="AL35" s="217">
        <v>-1</v>
      </c>
      <c r="AM35" s="217">
        <v>-4</v>
      </c>
      <c r="AN35" s="217">
        <v>-2</v>
      </c>
      <c r="AO35" s="217">
        <v>-2</v>
      </c>
      <c r="AP35" s="149">
        <v>-4</v>
      </c>
      <c r="AQ35" s="149">
        <f>AP35+AO35+AN35+AM35</f>
        <v>-12</v>
      </c>
      <c r="AR35" s="217">
        <v>-3</v>
      </c>
      <c r="AS35" s="217">
        <v>-3</v>
      </c>
      <c r="AT35" s="217">
        <v>-2</v>
      </c>
      <c r="AU35" s="217">
        <v>0</v>
      </c>
      <c r="AV35" s="217">
        <v>-8</v>
      </c>
      <c r="AW35" s="217">
        <v>-1</v>
      </c>
      <c r="AX35" s="217">
        <v>0</v>
      </c>
      <c r="AY35" s="217">
        <v>-1</v>
      </c>
      <c r="AZ35" s="217">
        <v>-1</v>
      </c>
      <c r="BA35" s="217">
        <v>-3</v>
      </c>
      <c r="BB35" s="217">
        <v>0</v>
      </c>
      <c r="BC35" s="217">
        <v>-7</v>
      </c>
      <c r="BD35" s="217">
        <v>-28</v>
      </c>
      <c r="BE35" s="217">
        <v>-40</v>
      </c>
      <c r="BF35" s="217">
        <v>-75</v>
      </c>
      <c r="BG35" s="217">
        <v>-36</v>
      </c>
      <c r="BH35" s="217">
        <v>-44</v>
      </c>
      <c r="BI35" s="217">
        <v>-26</v>
      </c>
      <c r="BJ35" s="217">
        <v>-44</v>
      </c>
      <c r="BK35" s="217">
        <f t="shared" si="7"/>
        <v>-150</v>
      </c>
      <c r="BL35" s="217">
        <v>-22</v>
      </c>
      <c r="BM35" s="217">
        <v>-33</v>
      </c>
      <c r="BN35" s="217">
        <v>-21</v>
      </c>
      <c r="BO35" s="217">
        <f t="shared" si="3"/>
        <v>-18</v>
      </c>
      <c r="BP35" s="217">
        <v>-94</v>
      </c>
      <c r="BQ35" s="217">
        <v>-12</v>
      </c>
      <c r="BR35" s="340">
        <v>-3</v>
      </c>
    </row>
    <row r="36" spans="1:70" ht="11.25" customHeight="1">
      <c r="A36" s="276"/>
      <c r="B36" s="492" t="s">
        <v>119</v>
      </c>
      <c r="C36" s="3"/>
      <c r="D36" s="177">
        <v>5</v>
      </c>
      <c r="E36" s="174">
        <v>3</v>
      </c>
      <c r="F36" s="174">
        <v>-70</v>
      </c>
      <c r="G36" s="174">
        <v>-64</v>
      </c>
      <c r="H36" s="174">
        <v>-126</v>
      </c>
      <c r="I36" s="278"/>
      <c r="J36" s="174">
        <v>-59</v>
      </c>
      <c r="K36" s="174">
        <v>72</v>
      </c>
      <c r="L36" s="174">
        <v>2</v>
      </c>
      <c r="M36" s="174">
        <v>-44</v>
      </c>
      <c r="N36" s="174">
        <v>-29</v>
      </c>
      <c r="O36" s="278"/>
      <c r="P36" s="174">
        <v>276</v>
      </c>
      <c r="Q36" s="174">
        <v>-346</v>
      </c>
      <c r="R36" s="174">
        <f>70+177</f>
        <v>247</v>
      </c>
      <c r="S36" s="174">
        <v>-578</v>
      </c>
      <c r="T36" s="174">
        <v>-401</v>
      </c>
      <c r="U36" s="278"/>
      <c r="V36" s="174">
        <v>372</v>
      </c>
      <c r="W36" s="174">
        <f>443</f>
        <v>443</v>
      </c>
      <c r="X36" s="174">
        <v>100</v>
      </c>
      <c r="Y36" s="174">
        <f>1251-372-443-100</f>
        <v>336</v>
      </c>
      <c r="Z36" s="174">
        <f t="shared" si="0"/>
        <v>1251</v>
      </c>
      <c r="AA36" s="278"/>
      <c r="AB36" s="174">
        <v>149</v>
      </c>
      <c r="AC36" s="174">
        <v>-682</v>
      </c>
      <c r="AD36" s="174">
        <v>146</v>
      </c>
      <c r="AE36" s="174">
        <v>-206</v>
      </c>
      <c r="AF36" s="174">
        <v>-593</v>
      </c>
      <c r="AG36" s="278"/>
      <c r="AH36" s="174">
        <v>-107</v>
      </c>
      <c r="AI36" s="217">
        <v>165</v>
      </c>
      <c r="AJ36" s="217">
        <v>-532</v>
      </c>
      <c r="AK36" s="217">
        <v>266</v>
      </c>
      <c r="AL36" s="217">
        <v>-208</v>
      </c>
      <c r="AM36" s="217">
        <v>-435</v>
      </c>
      <c r="AN36" s="217">
        <v>398</v>
      </c>
      <c r="AO36" s="217">
        <v>117</v>
      </c>
      <c r="AP36" s="279">
        <v>108</v>
      </c>
      <c r="AQ36" s="279">
        <f>AP36+AO36+AN36+AM36</f>
        <v>188</v>
      </c>
      <c r="AR36" s="217">
        <v>-260</v>
      </c>
      <c r="AS36" s="217">
        <v>140</v>
      </c>
      <c r="AT36" s="217">
        <v>-135</v>
      </c>
      <c r="AU36" s="217">
        <v>-44</v>
      </c>
      <c r="AV36" s="217">
        <v>-299</v>
      </c>
      <c r="AW36" s="217">
        <v>-64</v>
      </c>
      <c r="AX36" s="217">
        <v>-239</v>
      </c>
      <c r="AY36" s="217">
        <v>-314</v>
      </c>
      <c r="AZ36" s="217">
        <f>BA36-AY36-AX36-AW36</f>
        <v>438</v>
      </c>
      <c r="BA36" s="217">
        <v>-179</v>
      </c>
      <c r="BB36" s="217">
        <v>94</v>
      </c>
      <c r="BC36" s="217">
        <v>140</v>
      </c>
      <c r="BD36" s="217">
        <v>-183</v>
      </c>
      <c r="BE36" s="217">
        <v>305</v>
      </c>
      <c r="BF36" s="217">
        <v>356</v>
      </c>
      <c r="BG36" s="217">
        <v>-33</v>
      </c>
      <c r="BH36" s="217">
        <v>-26</v>
      </c>
      <c r="BI36" s="217">
        <v>132</v>
      </c>
      <c r="BJ36" s="217">
        <v>-157</v>
      </c>
      <c r="BK36" s="217">
        <f t="shared" si="7"/>
        <v>-84</v>
      </c>
      <c r="BL36" s="217">
        <v>151</v>
      </c>
      <c r="BM36" s="217">
        <v>152</v>
      </c>
      <c r="BN36" s="217">
        <v>-2</v>
      </c>
      <c r="BO36" s="217">
        <f t="shared" si="3"/>
        <v>16</v>
      </c>
      <c r="BP36" s="217">
        <v>317</v>
      </c>
      <c r="BQ36" s="217">
        <v>-78</v>
      </c>
      <c r="BR36" s="340">
        <v>-2</v>
      </c>
    </row>
    <row r="37" spans="1:70" ht="11.25" customHeight="1">
      <c r="A37" s="276"/>
      <c r="B37" s="495" t="s">
        <v>120</v>
      </c>
      <c r="C37" s="3"/>
      <c r="D37" s="177">
        <v>-17</v>
      </c>
      <c r="E37" s="174">
        <v>-13</v>
      </c>
      <c r="F37" s="174">
        <v>-18</v>
      </c>
      <c r="G37" s="174">
        <v>-29</v>
      </c>
      <c r="H37" s="174">
        <v>-77</v>
      </c>
      <c r="I37" s="278"/>
      <c r="J37" s="174">
        <v>-28</v>
      </c>
      <c r="K37" s="174">
        <v>-27</v>
      </c>
      <c r="L37" s="174">
        <v>-33</v>
      </c>
      <c r="M37" s="174">
        <v>-21</v>
      </c>
      <c r="N37" s="174">
        <v>-109</v>
      </c>
      <c r="O37" s="278"/>
      <c r="P37" s="174">
        <f>-31+8</f>
        <v>-23</v>
      </c>
      <c r="Q37" s="174">
        <f>-27+2</f>
        <v>-25</v>
      </c>
      <c r="R37" s="174">
        <v>-36</v>
      </c>
      <c r="S37" s="174">
        <v>-29</v>
      </c>
      <c r="T37" s="174">
        <v>-113</v>
      </c>
      <c r="U37" s="278"/>
      <c r="V37" s="174">
        <v>-26</v>
      </c>
      <c r="W37" s="174">
        <v>-25</v>
      </c>
      <c r="X37" s="174">
        <v>-27</v>
      </c>
      <c r="Y37" s="174">
        <v>-27</v>
      </c>
      <c r="Z37" s="174">
        <f t="shared" si="0"/>
        <v>-105</v>
      </c>
      <c r="AA37" s="278"/>
      <c r="AB37" s="174">
        <v>-27</v>
      </c>
      <c r="AC37" s="174">
        <v>-17</v>
      </c>
      <c r="AD37" s="174">
        <f>-9-16</f>
        <v>-25</v>
      </c>
      <c r="AE37" s="174">
        <v>-17</v>
      </c>
      <c r="AF37" s="174">
        <v>-86</v>
      </c>
      <c r="AG37" s="278"/>
      <c r="AH37" s="174">
        <v>-21</v>
      </c>
      <c r="AI37" s="217">
        <f>94-115</f>
        <v>-21</v>
      </c>
      <c r="AJ37" s="217">
        <f>-10-14</f>
        <v>-24</v>
      </c>
      <c r="AK37" s="217">
        <v>-42</v>
      </c>
      <c r="AL37" s="217">
        <v>-108</v>
      </c>
      <c r="AM37" s="217">
        <v>-19</v>
      </c>
      <c r="AN37" s="217">
        <v>-18</v>
      </c>
      <c r="AO37" s="217">
        <v>-12</v>
      </c>
      <c r="AP37" s="279">
        <v>-29</v>
      </c>
      <c r="AQ37" s="279">
        <f>AP37+AO37+AN37+AM37</f>
        <v>-78</v>
      </c>
      <c r="AR37" s="217">
        <v>-20</v>
      </c>
      <c r="AS37" s="217">
        <v>-17</v>
      </c>
      <c r="AT37" s="217">
        <v>-13</v>
      </c>
      <c r="AU37" s="217">
        <v>-18</v>
      </c>
      <c r="AV37" s="217">
        <v>-68</v>
      </c>
      <c r="AW37" s="217">
        <v>-27</v>
      </c>
      <c r="AX37" s="217">
        <v>-13</v>
      </c>
      <c r="AY37" s="217">
        <v>-19</v>
      </c>
      <c r="AZ37" s="217">
        <f t="shared" si="1"/>
        <v>3</v>
      </c>
      <c r="BA37" s="217">
        <v>-56</v>
      </c>
      <c r="BB37" s="217">
        <v>-16</v>
      </c>
      <c r="BC37" s="217">
        <v>-17</v>
      </c>
      <c r="BD37" s="217">
        <v>-60</v>
      </c>
      <c r="BE37" s="217">
        <v>-18</v>
      </c>
      <c r="BF37" s="217">
        <v>-111</v>
      </c>
      <c r="BG37" s="217">
        <v>-31</v>
      </c>
      <c r="BH37" s="217">
        <v>-32</v>
      </c>
      <c r="BI37" s="217">
        <v>-34</v>
      </c>
      <c r="BJ37" s="217">
        <v>-28</v>
      </c>
      <c r="BK37" s="217">
        <f t="shared" si="7"/>
        <v>-125</v>
      </c>
      <c r="BL37" s="217">
        <f>93+24-151</f>
        <v>-34</v>
      </c>
      <c r="BM37" s="217">
        <v>-30</v>
      </c>
      <c r="BN37" s="217">
        <v>-33</v>
      </c>
      <c r="BO37" s="217">
        <f t="shared" si="3"/>
        <v>51</v>
      </c>
      <c r="BP37" s="217">
        <v>-46</v>
      </c>
      <c r="BQ37" s="217">
        <v>-30</v>
      </c>
      <c r="BR37" s="340">
        <v>-31</v>
      </c>
    </row>
    <row r="38" spans="1:70" ht="11.25" customHeight="1">
      <c r="A38" s="276"/>
      <c r="B38" s="487" t="s">
        <v>121</v>
      </c>
      <c r="C38" s="372"/>
      <c r="D38" s="175">
        <f>D18+D21+D28+D32</f>
        <v>626</v>
      </c>
      <c r="E38" s="173">
        <f>E18+E21+E28+E32</f>
        <v>919</v>
      </c>
      <c r="F38" s="173">
        <f>F18+F21+F28+F32</f>
        <v>942</v>
      </c>
      <c r="G38" s="173">
        <f>G18+G21+G28+G32</f>
        <v>618</v>
      </c>
      <c r="H38" s="173">
        <f>H18+H21+H28+H32</f>
        <v>3105</v>
      </c>
      <c r="I38" s="278"/>
      <c r="J38" s="173">
        <f>J18+J21+J28+J32</f>
        <v>577</v>
      </c>
      <c r="K38" s="173">
        <f>K18+K21+K28+K32</f>
        <v>1117</v>
      </c>
      <c r="L38" s="173">
        <f>L18+L21+L28+L32</f>
        <v>330</v>
      </c>
      <c r="M38" s="173">
        <f>M18+M21+M28+M32</f>
        <v>-6589</v>
      </c>
      <c r="N38" s="173">
        <f>N18+N21+N28+N32</f>
        <v>-4565</v>
      </c>
      <c r="O38" s="278"/>
      <c r="P38" s="173">
        <f>P18+P21+P28+P32</f>
        <v>400</v>
      </c>
      <c r="Q38" s="173">
        <f>Q18+Q21+Q28+Q32</f>
        <v>340</v>
      </c>
      <c r="R38" s="173">
        <f>R18+R21+R28+R32</f>
        <v>531</v>
      </c>
      <c r="S38" s="173">
        <f>S18+S21+S28+S32</f>
        <v>-3806</v>
      </c>
      <c r="T38" s="173">
        <f>T18+T21+T28+T32</f>
        <v>-2535</v>
      </c>
      <c r="U38" s="278"/>
      <c r="V38" s="173">
        <f>V18+V21+V28+V32</f>
        <v>1031</v>
      </c>
      <c r="W38" s="173">
        <f>W18+W21+W28+W32</f>
        <v>618</v>
      </c>
      <c r="X38" s="173">
        <f>X18+X21+X28+X32</f>
        <v>788</v>
      </c>
      <c r="Y38" s="173">
        <f>Y18+Y21+Y28+Y32</f>
        <v>635</v>
      </c>
      <c r="Z38" s="173">
        <f t="shared" si="0"/>
        <v>3072</v>
      </c>
      <c r="AA38" s="278"/>
      <c r="AB38" s="173">
        <f>AB18+AB21+AB28+AB32</f>
        <v>661</v>
      </c>
      <c r="AC38" s="173">
        <f>AC18+AC21+AC28+AC32</f>
        <v>323</v>
      </c>
      <c r="AD38" s="173">
        <f>AD18+AD21+AD28+AD32</f>
        <v>608</v>
      </c>
      <c r="AE38" s="173">
        <f>AE18+AE21+AE28+AE32</f>
        <v>920</v>
      </c>
      <c r="AF38" s="173">
        <f>AF18+AF21+AF28+AF32</f>
        <v>2526</v>
      </c>
      <c r="AG38" s="278"/>
      <c r="AH38" s="173">
        <f>AH18+AH21+AH28+AH32</f>
        <v>838</v>
      </c>
      <c r="AI38" s="191">
        <f>AI18+AI21+AI28+AI32</f>
        <v>614</v>
      </c>
      <c r="AJ38" s="191">
        <f>AJ18+AJ21+AJ28+AJ32</f>
        <v>972</v>
      </c>
      <c r="AK38" s="191">
        <v>-302</v>
      </c>
      <c r="AL38" s="191">
        <v>2122</v>
      </c>
      <c r="AM38" s="191">
        <v>929</v>
      </c>
      <c r="AN38" s="191">
        <v>178</v>
      </c>
      <c r="AO38" s="191">
        <f>AO18+AO21+AO28+AO32</f>
        <v>772</v>
      </c>
      <c r="AP38" s="274">
        <v>877</v>
      </c>
      <c r="AQ38" s="274">
        <v>2756</v>
      </c>
      <c r="AR38" s="191">
        <v>1862</v>
      </c>
      <c r="AS38" s="191">
        <v>2767</v>
      </c>
      <c r="AT38" s="191">
        <v>1476</v>
      </c>
      <c r="AU38" s="191">
        <v>1719</v>
      </c>
      <c r="AV38" s="191">
        <v>7824</v>
      </c>
      <c r="AW38" s="191">
        <v>2508</v>
      </c>
      <c r="AX38" s="191">
        <v>2806</v>
      </c>
      <c r="AY38" s="191">
        <v>1551</v>
      </c>
      <c r="AZ38" s="191">
        <f t="shared" si="1"/>
        <v>-376</v>
      </c>
      <c r="BA38" s="191">
        <v>6489</v>
      </c>
      <c r="BB38" s="191">
        <v>513</v>
      </c>
      <c r="BC38" s="191">
        <v>390</v>
      </c>
      <c r="BD38" s="191">
        <v>789</v>
      </c>
      <c r="BE38" s="191">
        <v>-5292</v>
      </c>
      <c r="BF38" s="191">
        <v>-3600</v>
      </c>
      <c r="BG38" s="191">
        <v>703</v>
      </c>
      <c r="BH38" s="191">
        <f>BH18+BH21+BH28+BH32</f>
        <v>1246</v>
      </c>
      <c r="BI38" s="191">
        <v>439</v>
      </c>
      <c r="BJ38" s="191">
        <v>2220</v>
      </c>
      <c r="BK38" s="191">
        <f t="shared" si="7"/>
        <v>4608</v>
      </c>
      <c r="BL38" s="191">
        <v>734</v>
      </c>
      <c r="BM38" s="191">
        <v>581</v>
      </c>
      <c r="BN38" s="191">
        <v>924</v>
      </c>
      <c r="BO38" s="191">
        <f t="shared" si="3"/>
        <v>3170</v>
      </c>
      <c r="BP38" s="191">
        <f>5259+150</f>
        <v>5409</v>
      </c>
      <c r="BQ38" s="191">
        <v>4762</v>
      </c>
      <c r="BR38" s="339">
        <v>3146</v>
      </c>
    </row>
    <row r="39" spans="1:70" ht="11.25" customHeight="1">
      <c r="A39" s="276"/>
      <c r="B39" s="497" t="s">
        <v>122</v>
      </c>
      <c r="C39" s="277"/>
      <c r="D39" s="177">
        <v>-208</v>
      </c>
      <c r="E39" s="174">
        <v>-235</v>
      </c>
      <c r="F39" s="174">
        <v>-262</v>
      </c>
      <c r="G39" s="174">
        <v>58</v>
      </c>
      <c r="H39" s="174">
        <v>-647</v>
      </c>
      <c r="I39" s="278"/>
      <c r="J39" s="174">
        <v>-179</v>
      </c>
      <c r="K39" s="174">
        <v>-320</v>
      </c>
      <c r="L39" s="174">
        <v>-113</v>
      </c>
      <c r="M39" s="174">
        <f>N39-SUM(J39:L39)</f>
        <v>725</v>
      </c>
      <c r="N39" s="174">
        <v>113</v>
      </c>
      <c r="O39" s="278"/>
      <c r="P39" s="174">
        <v>-180</v>
      </c>
      <c r="Q39" s="174">
        <v>-205</v>
      </c>
      <c r="R39" s="174">
        <v>-200</v>
      </c>
      <c r="S39" s="174">
        <v>-63</v>
      </c>
      <c r="T39" s="174">
        <v>-648</v>
      </c>
      <c r="U39" s="278"/>
      <c r="V39" s="174">
        <v>-321</v>
      </c>
      <c r="W39" s="174">
        <f>-186-88</f>
        <v>-274</v>
      </c>
      <c r="X39" s="174">
        <v>-182</v>
      </c>
      <c r="Y39" s="174">
        <f>-774+321+274+182</f>
        <v>3</v>
      </c>
      <c r="Z39" s="174">
        <f t="shared" si="0"/>
        <v>-774</v>
      </c>
      <c r="AA39" s="278"/>
      <c r="AB39" s="174">
        <v>-222</v>
      </c>
      <c r="AC39" s="174">
        <v>-151</v>
      </c>
      <c r="AD39" s="174">
        <v>-243</v>
      </c>
      <c r="AE39" s="174">
        <v>-192</v>
      </c>
      <c r="AF39" s="174">
        <v>-808</v>
      </c>
      <c r="AG39" s="278"/>
      <c r="AH39" s="174">
        <v>-286</v>
      </c>
      <c r="AI39" s="217">
        <v>-196</v>
      </c>
      <c r="AJ39" s="217">
        <v>-276</v>
      </c>
      <c r="AK39" s="217">
        <v>57</v>
      </c>
      <c r="AL39" s="217">
        <v>-701</v>
      </c>
      <c r="AM39" s="217">
        <v>-239</v>
      </c>
      <c r="AN39" s="217">
        <v>-169</v>
      </c>
      <c r="AO39" s="217">
        <v>-299</v>
      </c>
      <c r="AP39" s="279">
        <v>-252</v>
      </c>
      <c r="AQ39" s="279">
        <v>-959</v>
      </c>
      <c r="AR39" s="217">
        <v>-497</v>
      </c>
      <c r="AS39" s="217">
        <v>-409</v>
      </c>
      <c r="AT39" s="217">
        <v>-437</v>
      </c>
      <c r="AU39" s="217">
        <v>-326</v>
      </c>
      <c r="AV39" s="217">
        <v>-1669</v>
      </c>
      <c r="AW39" s="217">
        <v>-609</v>
      </c>
      <c r="AX39" s="217">
        <v>-525</v>
      </c>
      <c r="AY39" s="217">
        <v>-464</v>
      </c>
      <c r="AZ39" s="217">
        <f t="shared" si="1"/>
        <v>-117</v>
      </c>
      <c r="BA39" s="217">
        <v>-1715</v>
      </c>
      <c r="BB39" s="217">
        <v>-349</v>
      </c>
      <c r="BC39" s="217">
        <v>-153</v>
      </c>
      <c r="BD39" s="217">
        <v>-354</v>
      </c>
      <c r="BE39" s="217">
        <v>765</v>
      </c>
      <c r="BF39" s="217">
        <v>-91</v>
      </c>
      <c r="BG39" s="217">
        <v>-279</v>
      </c>
      <c r="BH39" s="217">
        <v>-596</v>
      </c>
      <c r="BI39" s="217">
        <v>-199</v>
      </c>
      <c r="BJ39" s="217">
        <v>-664</v>
      </c>
      <c r="BK39" s="217">
        <f t="shared" si="7"/>
        <v>-1738</v>
      </c>
      <c r="BL39" s="217">
        <v>-404</v>
      </c>
      <c r="BM39" s="217">
        <v>-331</v>
      </c>
      <c r="BN39" s="217">
        <v>-491</v>
      </c>
      <c r="BO39" s="217">
        <f t="shared" si="3"/>
        <v>-495</v>
      </c>
      <c r="BP39" s="217">
        <v>-1721</v>
      </c>
      <c r="BQ39" s="217">
        <v>-1233</v>
      </c>
      <c r="BR39" s="340">
        <v>-1096</v>
      </c>
    </row>
    <row r="40" spans="1:70" ht="11.25" customHeight="1">
      <c r="B40" s="487" t="s">
        <v>123</v>
      </c>
      <c r="C40" s="284"/>
      <c r="D40" s="175">
        <f>D38+D39</f>
        <v>418</v>
      </c>
      <c r="E40" s="173">
        <f>E38+E39</f>
        <v>684</v>
      </c>
      <c r="F40" s="173">
        <f>F38+F39</f>
        <v>680</v>
      </c>
      <c r="G40" s="173">
        <f>G38+G39</f>
        <v>676</v>
      </c>
      <c r="H40" s="173">
        <f>H38+H39</f>
        <v>2458</v>
      </c>
      <c r="I40" s="278"/>
      <c r="J40" s="173">
        <f>J38+J39</f>
        <v>398</v>
      </c>
      <c r="K40" s="173">
        <f>K38+K39</f>
        <v>797</v>
      </c>
      <c r="L40" s="173">
        <f>L38+L39</f>
        <v>217</v>
      </c>
      <c r="M40" s="173">
        <f>M38+M39</f>
        <v>-5864</v>
      </c>
      <c r="N40" s="173">
        <f>N38+N39</f>
        <v>-4452</v>
      </c>
      <c r="O40" s="278"/>
      <c r="P40" s="173">
        <f t="shared" ref="P40:Y40" si="9">P38+P39</f>
        <v>220</v>
      </c>
      <c r="Q40" s="173">
        <f t="shared" si="9"/>
        <v>135</v>
      </c>
      <c r="R40" s="173">
        <f t="shared" si="9"/>
        <v>331</v>
      </c>
      <c r="S40" s="173">
        <f t="shared" si="9"/>
        <v>-3869</v>
      </c>
      <c r="T40" s="173">
        <f t="shared" si="9"/>
        <v>-3183</v>
      </c>
      <c r="U40" s="278"/>
      <c r="V40" s="173">
        <f t="shared" si="9"/>
        <v>710</v>
      </c>
      <c r="W40" s="173">
        <f t="shared" si="9"/>
        <v>344</v>
      </c>
      <c r="X40" s="173">
        <f t="shared" si="9"/>
        <v>606</v>
      </c>
      <c r="Y40" s="173">
        <f t="shared" si="9"/>
        <v>638</v>
      </c>
      <c r="Z40" s="173">
        <f t="shared" si="0"/>
        <v>2298</v>
      </c>
      <c r="AA40" s="278"/>
      <c r="AB40" s="173">
        <v>439</v>
      </c>
      <c r="AC40" s="173">
        <v>172</v>
      </c>
      <c r="AD40" s="173">
        <f>AD38+AD39</f>
        <v>365</v>
      </c>
      <c r="AE40" s="173">
        <f>AE38+AE39</f>
        <v>728</v>
      </c>
      <c r="AF40" s="173">
        <f>AF38+AF39</f>
        <v>1718</v>
      </c>
      <c r="AG40" s="278"/>
      <c r="AH40" s="173">
        <f>AH38+AH39</f>
        <v>552</v>
      </c>
      <c r="AI40" s="191">
        <f>AI38+AI39</f>
        <v>418</v>
      </c>
      <c r="AJ40" s="191">
        <f>AJ38+AJ39</f>
        <v>696</v>
      </c>
      <c r="AK40" s="191">
        <v>-245</v>
      </c>
      <c r="AL40" s="191">
        <v>1421</v>
      </c>
      <c r="AM40" s="191">
        <v>690</v>
      </c>
      <c r="AN40" s="191">
        <v>9</v>
      </c>
      <c r="AO40" s="191">
        <f>AO38+AO39</f>
        <v>473</v>
      </c>
      <c r="AP40" s="274">
        <v>625</v>
      </c>
      <c r="AQ40" s="274">
        <v>1797</v>
      </c>
      <c r="AR40" s="191">
        <v>1365</v>
      </c>
      <c r="AS40" s="191">
        <v>2358</v>
      </c>
      <c r="AT40" s="191">
        <v>1039</v>
      </c>
      <c r="AU40" s="191">
        <v>1393</v>
      </c>
      <c r="AV40" s="191">
        <v>6155</v>
      </c>
      <c r="AW40" s="191">
        <v>1899</v>
      </c>
      <c r="AX40" s="191">
        <v>2281</v>
      </c>
      <c r="AY40" s="191">
        <v>1087</v>
      </c>
      <c r="AZ40" s="191">
        <f t="shared" si="1"/>
        <v>-493</v>
      </c>
      <c r="BA40" s="191">
        <v>4774</v>
      </c>
      <c r="BB40" s="191">
        <v>164</v>
      </c>
      <c r="BC40" s="191">
        <v>237</v>
      </c>
      <c r="BD40" s="191">
        <v>435</v>
      </c>
      <c r="BE40" s="191">
        <v>-4527</v>
      </c>
      <c r="BF40" s="191">
        <v>-3691</v>
      </c>
      <c r="BG40" s="191">
        <v>424</v>
      </c>
      <c r="BH40" s="191">
        <f>BH38+BH39</f>
        <v>650</v>
      </c>
      <c r="BI40" s="191">
        <v>240</v>
      </c>
      <c r="BJ40" s="191">
        <v>1556</v>
      </c>
      <c r="BK40" s="191">
        <f t="shared" si="7"/>
        <v>2870</v>
      </c>
      <c r="BL40" s="191">
        <v>330</v>
      </c>
      <c r="BM40" s="191">
        <v>250</v>
      </c>
      <c r="BN40" s="191">
        <v>433</v>
      </c>
      <c r="BO40" s="191">
        <f t="shared" si="3"/>
        <v>2675</v>
      </c>
      <c r="BP40" s="191">
        <f>3538+150</f>
        <v>3688</v>
      </c>
      <c r="BQ40" s="191">
        <v>3529</v>
      </c>
      <c r="BR40" s="339">
        <v>2050</v>
      </c>
    </row>
    <row r="41" spans="1:70">
      <c r="D41" s="285"/>
      <c r="E41" s="285"/>
      <c r="F41" s="285"/>
      <c r="G41" s="285"/>
      <c r="H41" s="285"/>
      <c r="I41" s="286"/>
      <c r="J41" s="285"/>
      <c r="K41" s="285"/>
      <c r="L41" s="285"/>
      <c r="M41" s="285"/>
      <c r="N41" s="285"/>
      <c r="O41" s="286"/>
      <c r="P41" s="285"/>
      <c r="Q41" s="285"/>
      <c r="R41" s="285"/>
      <c r="S41" s="285"/>
      <c r="T41" s="285"/>
      <c r="U41" s="286"/>
      <c r="V41" s="285"/>
      <c r="W41" s="285"/>
      <c r="X41" s="285"/>
      <c r="Y41" s="285"/>
      <c r="Z41" s="285"/>
      <c r="AA41" s="286"/>
      <c r="AB41" s="285"/>
      <c r="AC41" s="285"/>
      <c r="AD41" s="285"/>
      <c r="AE41" s="285"/>
      <c r="AF41" s="285"/>
      <c r="AG41" s="286"/>
      <c r="AH41" s="285"/>
      <c r="AI41" s="287"/>
      <c r="AJ41" s="44"/>
      <c r="AK41" s="44"/>
      <c r="AL41" s="44"/>
      <c r="AO41" s="51"/>
      <c r="AP41" s="274"/>
      <c r="AQ41" s="274"/>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row>
    <row r="42" spans="1:70" ht="14.25" customHeight="1">
      <c r="B42" s="498" t="s">
        <v>124</v>
      </c>
      <c r="C42" s="289"/>
      <c r="D42" s="294">
        <v>401</v>
      </c>
      <c r="E42" s="292">
        <f>793-401</f>
        <v>392</v>
      </c>
      <c r="F42" s="292">
        <f>1196-401-392</f>
        <v>403</v>
      </c>
      <c r="G42" s="292">
        <f t="shared" ref="G42:G47" si="10">H42-D42-E42-F42</f>
        <v>439</v>
      </c>
      <c r="H42" s="292">
        <v>1635</v>
      </c>
      <c r="I42" s="293"/>
      <c r="J42" s="292">
        <v>564</v>
      </c>
      <c r="K42" s="292">
        <f>944-564</f>
        <v>380</v>
      </c>
      <c r="L42" s="292">
        <f>1474-380-564</f>
        <v>530</v>
      </c>
      <c r="M42" s="292">
        <f t="shared" ref="M42:M47" si="11">N42-SUM(J42:L42)</f>
        <v>469</v>
      </c>
      <c r="N42" s="292">
        <v>1943</v>
      </c>
      <c r="O42" s="291"/>
      <c r="P42" s="173">
        <v>397</v>
      </c>
      <c r="Q42" s="173">
        <f>810-397</f>
        <v>413</v>
      </c>
      <c r="R42" s="173">
        <f>1241-397-413</f>
        <v>431</v>
      </c>
      <c r="S42" s="173">
        <f t="shared" ref="S42:S47" si="12">T42-P42-Q42-R42</f>
        <v>702</v>
      </c>
      <c r="T42" s="292">
        <v>1943</v>
      </c>
      <c r="U42" s="293"/>
      <c r="V42" s="292">
        <v>371</v>
      </c>
      <c r="W42" s="292">
        <f>772-371</f>
        <v>401</v>
      </c>
      <c r="X42" s="292">
        <f>772-371</f>
        <v>401</v>
      </c>
      <c r="Y42" s="292">
        <f>1609-401-401-371</f>
        <v>436</v>
      </c>
      <c r="Z42" s="292">
        <v>1609</v>
      </c>
      <c r="AA42" s="293"/>
      <c r="AB42" s="292">
        <v>350</v>
      </c>
      <c r="AC42" s="292">
        <f>864-350</f>
        <v>514</v>
      </c>
      <c r="AD42" s="292">
        <f>1316-350-514</f>
        <v>452</v>
      </c>
      <c r="AE42" s="292">
        <v>480</v>
      </c>
      <c r="AF42" s="292">
        <v>1796</v>
      </c>
      <c r="AG42" s="293"/>
      <c r="AH42" s="292">
        <v>453</v>
      </c>
      <c r="AI42" s="37">
        <f>921-453</f>
        <v>468</v>
      </c>
      <c r="AJ42" s="37">
        <f>1358-453-468</f>
        <v>437</v>
      </c>
      <c r="AK42" s="37">
        <v>562</v>
      </c>
      <c r="AL42" s="37">
        <v>1920</v>
      </c>
      <c r="AM42" s="37">
        <v>483</v>
      </c>
      <c r="AN42" s="37">
        <v>470</v>
      </c>
      <c r="AO42" s="37">
        <v>438</v>
      </c>
      <c r="AP42" s="274">
        <v>572</v>
      </c>
      <c r="AQ42" s="274">
        <v>1963</v>
      </c>
      <c r="AR42" s="191">
        <v>495</v>
      </c>
      <c r="AS42" s="191">
        <v>525</v>
      </c>
      <c r="AT42" s="191">
        <v>578</v>
      </c>
      <c r="AU42" s="191">
        <v>525</v>
      </c>
      <c r="AV42" s="191">
        <v>2123</v>
      </c>
      <c r="AW42" s="191">
        <v>493</v>
      </c>
      <c r="AX42" s="191">
        <v>551</v>
      </c>
      <c r="AY42" s="191">
        <v>561</v>
      </c>
      <c r="AZ42" s="191">
        <f t="shared" si="1"/>
        <v>634</v>
      </c>
      <c r="BA42" s="191">
        <v>2239</v>
      </c>
      <c r="BB42" s="158"/>
      <c r="BC42" s="158"/>
      <c r="BD42" s="158"/>
      <c r="BE42" s="158"/>
      <c r="BF42" s="158"/>
      <c r="BG42" s="158"/>
      <c r="BH42" s="158"/>
      <c r="BI42" s="158"/>
      <c r="BJ42" s="158"/>
      <c r="BK42" s="158"/>
      <c r="BL42" s="158"/>
      <c r="BM42" s="158"/>
      <c r="BN42" s="158"/>
      <c r="BO42" s="158"/>
      <c r="BP42" s="158"/>
      <c r="BQ42" s="158"/>
      <c r="BR42" s="158"/>
    </row>
    <row r="43" spans="1:70" ht="17.25" customHeight="1">
      <c r="B43" s="499" t="s">
        <v>125</v>
      </c>
      <c r="C43" s="289"/>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91">
        <v>585</v>
      </c>
      <c r="BC43" s="191">
        <v>639</v>
      </c>
      <c r="BD43" s="191">
        <v>661</v>
      </c>
      <c r="BE43" s="191">
        <v>756</v>
      </c>
      <c r="BF43" s="191">
        <v>2641</v>
      </c>
      <c r="BG43" s="191">
        <v>593</v>
      </c>
      <c r="BH43" s="191">
        <v>647</v>
      </c>
      <c r="BI43" s="191">
        <v>627</v>
      </c>
      <c r="BJ43" s="191">
        <v>646</v>
      </c>
      <c r="BK43" s="191">
        <f>BG43+BH43+BI43+BJ43</f>
        <v>2513</v>
      </c>
      <c r="BL43" s="191">
        <v>696</v>
      </c>
      <c r="BM43" s="191">
        <v>707</v>
      </c>
      <c r="BN43" s="191">
        <v>715</v>
      </c>
      <c r="BO43" s="191">
        <v>700</v>
      </c>
      <c r="BP43" s="191">
        <v>2818</v>
      </c>
      <c r="BQ43" s="191">
        <v>710</v>
      </c>
      <c r="BR43" s="191">
        <v>712</v>
      </c>
    </row>
    <row r="44" spans="1:70" s="275" customFormat="1" ht="35.25" customHeight="1">
      <c r="B44" s="271" t="s">
        <v>126</v>
      </c>
      <c r="C44" s="272"/>
      <c r="D44" s="294">
        <f>982+4+90</f>
        <v>1076</v>
      </c>
      <c r="E44" s="292">
        <f>2366-1076</f>
        <v>1290</v>
      </c>
      <c r="F44" s="292">
        <f>3683-1076-1290</f>
        <v>1317</v>
      </c>
      <c r="G44" s="292">
        <f t="shared" si="10"/>
        <v>1207</v>
      </c>
      <c r="H44" s="292">
        <f>4331+415+144</f>
        <v>4890</v>
      </c>
      <c r="I44" s="293"/>
      <c r="J44" s="292">
        <f>1095+118+68</f>
        <v>1281</v>
      </c>
      <c r="K44" s="292">
        <f>1269+64+146-68</f>
        <v>1411</v>
      </c>
      <c r="L44" s="292">
        <f>3252+286-40+211-1281-1411</f>
        <v>1017</v>
      </c>
      <c r="M44" s="292">
        <f t="shared" si="11"/>
        <v>1001</v>
      </c>
      <c r="N44" s="292">
        <f>4163+369-101+279</f>
        <v>4710</v>
      </c>
      <c r="O44" s="293"/>
      <c r="P44" s="173">
        <f>673+139+84+91</f>
        <v>987</v>
      </c>
      <c r="Q44" s="173">
        <f>1463+272+154+173-987</f>
        <v>1075</v>
      </c>
      <c r="R44" s="173">
        <f>2394+393+124+240-987-1075</f>
        <v>1089</v>
      </c>
      <c r="S44" s="173">
        <f t="shared" si="12"/>
        <v>1515</v>
      </c>
      <c r="T44" s="292">
        <f>3551+614+189+312</f>
        <v>4666</v>
      </c>
      <c r="U44" s="293"/>
      <c r="V44" s="292">
        <f>1304+75+122+80</f>
        <v>1581</v>
      </c>
      <c r="W44" s="292">
        <f>2863-1581</f>
        <v>1282</v>
      </c>
      <c r="X44" s="292">
        <f>4277-1581-1282</f>
        <v>1414</v>
      </c>
      <c r="Y44" s="292">
        <v>1476</v>
      </c>
      <c r="Z44" s="292">
        <f>4160+707+609+277</f>
        <v>5753</v>
      </c>
      <c r="AA44" s="293"/>
      <c r="AB44" s="292">
        <v>1174</v>
      </c>
      <c r="AC44" s="292">
        <f>2565-1174</f>
        <v>1391</v>
      </c>
      <c r="AD44" s="292">
        <f>3790-1391-1174</f>
        <v>1225</v>
      </c>
      <c r="AE44" s="292">
        <v>1182</v>
      </c>
      <c r="AF44" s="292">
        <v>4972</v>
      </c>
      <c r="AG44" s="293"/>
      <c r="AH44" s="292">
        <v>1454</v>
      </c>
      <c r="AI44" s="37">
        <v>1278</v>
      </c>
      <c r="AJ44" s="37">
        <v>1380</v>
      </c>
      <c r="AK44" s="37">
        <v>1117</v>
      </c>
      <c r="AL44" s="37">
        <v>5229</v>
      </c>
      <c r="AM44" s="37">
        <v>1129</v>
      </c>
      <c r="AN44" s="37">
        <v>1522</v>
      </c>
      <c r="AO44" s="37">
        <v>1767</v>
      </c>
      <c r="AP44" s="274">
        <v>2205</v>
      </c>
      <c r="AQ44" s="274">
        <v>6623</v>
      </c>
      <c r="AR44" s="191">
        <v>2608</v>
      </c>
      <c r="AS44" s="191">
        <v>2705</v>
      </c>
      <c r="AT44" s="191">
        <v>2417</v>
      </c>
      <c r="AU44" s="191">
        <v>2597</v>
      </c>
      <c r="AV44" s="191">
        <v>10327</v>
      </c>
      <c r="AW44" s="191">
        <v>3133</v>
      </c>
      <c r="AX44" s="191">
        <v>2176</v>
      </c>
      <c r="AY44" s="191">
        <v>1636</v>
      </c>
      <c r="AZ44" s="191">
        <f t="shared" si="1"/>
        <v>1920</v>
      </c>
      <c r="BA44" s="191">
        <v>8865</v>
      </c>
      <c r="BB44" s="191">
        <v>1802</v>
      </c>
      <c r="BC44" s="173">
        <v>1306</v>
      </c>
      <c r="BD44" s="191">
        <v>1200</v>
      </c>
      <c r="BE44" s="191">
        <v>1054</v>
      </c>
      <c r="BF44" s="191">
        <v>5362</v>
      </c>
      <c r="BG44" s="191">
        <v>1551</v>
      </c>
      <c r="BH44" s="191">
        <v>2657</v>
      </c>
      <c r="BI44" s="191">
        <v>1978</v>
      </c>
      <c r="BJ44" s="191">
        <v>2271</v>
      </c>
      <c r="BK44" s="191">
        <f>BG44+BH44+BI44+BJ44</f>
        <v>8457</v>
      </c>
      <c r="BL44" s="191">
        <v>2489</v>
      </c>
      <c r="BM44" s="191">
        <v>2374</v>
      </c>
      <c r="BN44" s="191">
        <v>2340</v>
      </c>
      <c r="BO44" s="191">
        <v>3073</v>
      </c>
      <c r="BP44" s="191">
        <v>10276</v>
      </c>
      <c r="BQ44" s="191">
        <v>5464</v>
      </c>
      <c r="BR44" s="339">
        <v>3734</v>
      </c>
    </row>
    <row r="45" spans="1:70">
      <c r="A45" s="276"/>
      <c r="B45" s="486" t="s">
        <v>12</v>
      </c>
      <c r="C45" s="277"/>
      <c r="D45" s="177">
        <v>982</v>
      </c>
      <c r="E45" s="174">
        <f>2019-982</f>
        <v>1037</v>
      </c>
      <c r="F45" s="174">
        <f>3131-1037-982</f>
        <v>1112</v>
      </c>
      <c r="G45" s="290">
        <f t="shared" si="10"/>
        <v>1200</v>
      </c>
      <c r="H45" s="174">
        <v>4331</v>
      </c>
      <c r="I45" s="278"/>
      <c r="J45" s="174">
        <v>1095</v>
      </c>
      <c r="K45" s="174">
        <f>2364-1095</f>
        <v>1269</v>
      </c>
      <c r="L45" s="174">
        <f>3252-1095-1269</f>
        <v>888</v>
      </c>
      <c r="M45" s="174">
        <f t="shared" si="11"/>
        <v>911</v>
      </c>
      <c r="N45" s="174">
        <v>4163</v>
      </c>
      <c r="O45" s="278"/>
      <c r="P45" s="174">
        <v>673</v>
      </c>
      <c r="Q45" s="174">
        <f>1463-673</f>
        <v>790</v>
      </c>
      <c r="R45" s="174">
        <f>2394-673-790</f>
        <v>931</v>
      </c>
      <c r="S45" s="174">
        <f t="shared" si="12"/>
        <v>1157</v>
      </c>
      <c r="T45" s="174">
        <v>3551</v>
      </c>
      <c r="U45" s="278"/>
      <c r="V45" s="174">
        <v>1304</v>
      </c>
      <c r="W45" s="174">
        <f>2231-1304</f>
        <v>927</v>
      </c>
      <c r="X45" s="174">
        <f>3199-1304-927</f>
        <v>968</v>
      </c>
      <c r="Y45" s="174">
        <v>961</v>
      </c>
      <c r="Z45" s="174">
        <v>4160</v>
      </c>
      <c r="AA45" s="278"/>
      <c r="AB45" s="174">
        <v>771</v>
      </c>
      <c r="AC45" s="174">
        <f>1700-771</f>
        <v>929</v>
      </c>
      <c r="AD45" s="174">
        <f>2588-771-929</f>
        <v>888</v>
      </c>
      <c r="AE45" s="174">
        <v>828</v>
      </c>
      <c r="AF45" s="174">
        <v>3416</v>
      </c>
      <c r="AG45" s="278"/>
      <c r="AH45" s="174">
        <v>999</v>
      </c>
      <c r="AI45" s="217">
        <v>920</v>
      </c>
      <c r="AJ45" s="217">
        <f>2868-999-920</f>
        <v>949</v>
      </c>
      <c r="AK45" s="217">
        <v>751</v>
      </c>
      <c r="AL45" s="217">
        <v>3619</v>
      </c>
      <c r="AM45" s="174">
        <v>900</v>
      </c>
      <c r="AN45" s="174">
        <v>1031</v>
      </c>
      <c r="AO45" s="174">
        <v>1121</v>
      </c>
      <c r="AP45" s="279">
        <v>1406</v>
      </c>
      <c r="AQ45" s="279">
        <v>4458</v>
      </c>
      <c r="AR45" s="217">
        <v>1675</v>
      </c>
      <c r="AS45" s="217">
        <v>1482</v>
      </c>
      <c r="AT45" s="217">
        <v>1115</v>
      </c>
      <c r="AU45" s="217">
        <v>1202</v>
      </c>
      <c r="AV45" s="217">
        <v>5474</v>
      </c>
      <c r="AW45" s="217">
        <v>1924</v>
      </c>
      <c r="AX45" s="217">
        <v>1515</v>
      </c>
      <c r="AY45" s="217">
        <v>998</v>
      </c>
      <c r="AZ45" s="217">
        <f t="shared" si="1"/>
        <v>963</v>
      </c>
      <c r="BA45" s="217">
        <v>5400</v>
      </c>
      <c r="BB45" s="217">
        <v>1410</v>
      </c>
      <c r="BC45" s="174">
        <v>879</v>
      </c>
      <c r="BD45" s="217">
        <v>873</v>
      </c>
      <c r="BE45" s="217">
        <v>401</v>
      </c>
      <c r="BF45" s="217">
        <v>3563</v>
      </c>
      <c r="BG45" s="217">
        <v>896</v>
      </c>
      <c r="BH45" s="217">
        <v>1576</v>
      </c>
      <c r="BI45" s="217">
        <v>930</v>
      </c>
      <c r="BJ45" s="217">
        <v>1061</v>
      </c>
      <c r="BK45" s="217">
        <f>BG45+BH45+BI45+BJ45</f>
        <v>4463</v>
      </c>
      <c r="BL45" s="217">
        <v>1253</v>
      </c>
      <c r="BM45" s="217">
        <v>1178</v>
      </c>
      <c r="BN45" s="217">
        <v>1127</v>
      </c>
      <c r="BO45" s="217">
        <v>1351</v>
      </c>
      <c r="BP45" s="217">
        <v>4909</v>
      </c>
      <c r="BQ45" s="217">
        <v>4236</v>
      </c>
      <c r="BR45" s="340">
        <v>2322</v>
      </c>
    </row>
    <row r="46" spans="1:70">
      <c r="A46" s="276"/>
      <c r="B46" s="486" t="s">
        <v>13</v>
      </c>
      <c r="C46" s="277"/>
      <c r="D46" s="177">
        <v>4</v>
      </c>
      <c r="E46" s="174">
        <f>167-4</f>
        <v>163</v>
      </c>
      <c r="F46" s="174">
        <f>293-163-4</f>
        <v>126</v>
      </c>
      <c r="G46" s="290">
        <f t="shared" si="10"/>
        <v>122</v>
      </c>
      <c r="H46" s="174">
        <v>415</v>
      </c>
      <c r="I46" s="278"/>
      <c r="J46" s="174">
        <v>118</v>
      </c>
      <c r="K46" s="174">
        <f>182-118</f>
        <v>64</v>
      </c>
      <c r="L46" s="174">
        <f>286-118-64</f>
        <v>104</v>
      </c>
      <c r="M46" s="174">
        <f t="shared" si="11"/>
        <v>83</v>
      </c>
      <c r="N46" s="174">
        <v>369</v>
      </c>
      <c r="O46" s="278"/>
      <c r="P46" s="174">
        <v>139</v>
      </c>
      <c r="Q46" s="174">
        <f>272-139</f>
        <v>133</v>
      </c>
      <c r="R46" s="174">
        <f>393-139-133</f>
        <v>121</v>
      </c>
      <c r="S46" s="174">
        <f t="shared" si="12"/>
        <v>221</v>
      </c>
      <c r="T46" s="174">
        <v>614</v>
      </c>
      <c r="U46" s="278"/>
      <c r="V46" s="174">
        <v>75</v>
      </c>
      <c r="W46" s="174">
        <f>264-75</f>
        <v>189</v>
      </c>
      <c r="X46" s="174">
        <f>455-75-189</f>
        <v>191</v>
      </c>
      <c r="Y46" s="174">
        <v>252</v>
      </c>
      <c r="Z46" s="174">
        <v>707</v>
      </c>
      <c r="AA46" s="278"/>
      <c r="AB46" s="174">
        <v>168</v>
      </c>
      <c r="AC46" s="174">
        <f>380-168</f>
        <v>212</v>
      </c>
      <c r="AD46" s="174">
        <f>528-168-212</f>
        <v>148</v>
      </c>
      <c r="AE46" s="174">
        <v>194</v>
      </c>
      <c r="AF46" s="174">
        <v>722</v>
      </c>
      <c r="AG46" s="278"/>
      <c r="AH46" s="174">
        <v>170</v>
      </c>
      <c r="AI46" s="217">
        <v>166</v>
      </c>
      <c r="AJ46" s="217">
        <f>515-170-166</f>
        <v>179</v>
      </c>
      <c r="AK46" s="217">
        <v>194</v>
      </c>
      <c r="AL46" s="217">
        <v>709</v>
      </c>
      <c r="AM46" s="217">
        <v>52</v>
      </c>
      <c r="AN46" s="217">
        <v>110</v>
      </c>
      <c r="AO46" s="217">
        <v>233</v>
      </c>
      <c r="AP46" s="279">
        <v>213</v>
      </c>
      <c r="AQ46" s="279">
        <v>608</v>
      </c>
      <c r="AR46" s="217">
        <v>238</v>
      </c>
      <c r="AS46" s="217">
        <v>295</v>
      </c>
      <c r="AT46" s="217">
        <v>460</v>
      </c>
      <c r="AU46" s="217">
        <v>347</v>
      </c>
      <c r="AV46" s="217">
        <v>1340</v>
      </c>
      <c r="AW46" s="217">
        <v>361</v>
      </c>
      <c r="AX46" s="217">
        <v>213</v>
      </c>
      <c r="AY46" s="217">
        <v>136</v>
      </c>
      <c r="AZ46" s="217">
        <f t="shared" si="1"/>
        <v>291</v>
      </c>
      <c r="BA46" s="217">
        <v>1001</v>
      </c>
      <c r="BB46" s="217">
        <v>-169</v>
      </c>
      <c r="BC46" s="174">
        <v>-183</v>
      </c>
      <c r="BD46" s="217">
        <v>-113</v>
      </c>
      <c r="BE46" s="217">
        <v>323</v>
      </c>
      <c r="BF46" s="217">
        <v>-142</v>
      </c>
      <c r="BG46" s="217">
        <v>247</v>
      </c>
      <c r="BH46" s="217">
        <v>422</v>
      </c>
      <c r="BI46" s="217">
        <v>460</v>
      </c>
      <c r="BJ46" s="217">
        <v>514</v>
      </c>
      <c r="BK46" s="217">
        <f>BG46+BH46+BI46+BJ46</f>
        <v>1643</v>
      </c>
      <c r="BL46" s="217">
        <v>462</v>
      </c>
      <c r="BM46" s="217">
        <v>448</v>
      </c>
      <c r="BN46" s="217">
        <v>389</v>
      </c>
      <c r="BO46" s="217">
        <v>561</v>
      </c>
      <c r="BP46" s="217">
        <v>1860</v>
      </c>
      <c r="BQ46" s="217">
        <v>422</v>
      </c>
      <c r="BR46" s="340">
        <v>360</v>
      </c>
    </row>
    <row r="47" spans="1:70">
      <c r="A47" s="276"/>
      <c r="B47" s="486" t="s">
        <v>14</v>
      </c>
      <c r="C47" s="277"/>
      <c r="D47" s="177">
        <v>0</v>
      </c>
      <c r="E47" s="174">
        <v>0</v>
      </c>
      <c r="F47" s="174">
        <v>0</v>
      </c>
      <c r="G47" s="174">
        <f t="shared" si="10"/>
        <v>0</v>
      </c>
      <c r="H47" s="174">
        <v>0</v>
      </c>
      <c r="I47" s="278"/>
      <c r="J47" s="174">
        <v>0</v>
      </c>
      <c r="K47" s="174">
        <v>0</v>
      </c>
      <c r="L47" s="174">
        <v>-40</v>
      </c>
      <c r="M47" s="174">
        <f t="shared" si="11"/>
        <v>-61</v>
      </c>
      <c r="N47" s="174">
        <v>-101</v>
      </c>
      <c r="O47" s="278"/>
      <c r="P47" s="174">
        <v>84</v>
      </c>
      <c r="Q47" s="174">
        <f>154-84</f>
        <v>70</v>
      </c>
      <c r="R47" s="174">
        <f>124-84-70</f>
        <v>-30</v>
      </c>
      <c r="S47" s="174">
        <f t="shared" si="12"/>
        <v>65</v>
      </c>
      <c r="T47" s="174">
        <v>189</v>
      </c>
      <c r="U47" s="278"/>
      <c r="V47" s="174">
        <v>122</v>
      </c>
      <c r="W47" s="174">
        <f>195-122</f>
        <v>73</v>
      </c>
      <c r="X47" s="174">
        <f>378-122-73</f>
        <v>183</v>
      </c>
      <c r="Y47" s="174">
        <v>231</v>
      </c>
      <c r="Z47" s="174">
        <v>609</v>
      </c>
      <c r="AA47" s="278"/>
      <c r="AB47" s="174">
        <v>163</v>
      </c>
      <c r="AC47" s="174">
        <f>333-163</f>
        <v>170</v>
      </c>
      <c r="AD47" s="174">
        <f>484-163-170</f>
        <v>151</v>
      </c>
      <c r="AE47" s="174">
        <v>149</v>
      </c>
      <c r="AF47" s="174">
        <v>633</v>
      </c>
      <c r="AG47" s="278"/>
      <c r="AH47" s="174">
        <v>218</v>
      </c>
      <c r="AI47" s="217">
        <v>131</v>
      </c>
      <c r="AJ47" s="217">
        <f>522-218-131</f>
        <v>173</v>
      </c>
      <c r="AK47" s="217">
        <v>138</v>
      </c>
      <c r="AL47" s="217">
        <v>660</v>
      </c>
      <c r="AM47" s="217">
        <v>104</v>
      </c>
      <c r="AN47" s="217">
        <v>324</v>
      </c>
      <c r="AO47" s="217">
        <v>351</v>
      </c>
      <c r="AP47" s="279">
        <v>567</v>
      </c>
      <c r="AQ47" s="279">
        <v>1346</v>
      </c>
      <c r="AR47" s="217">
        <v>643</v>
      </c>
      <c r="AS47" s="217">
        <v>835</v>
      </c>
      <c r="AT47" s="217">
        <v>759</v>
      </c>
      <c r="AU47" s="217">
        <v>930</v>
      </c>
      <c r="AV47" s="217">
        <v>3167</v>
      </c>
      <c r="AW47" s="217">
        <v>821</v>
      </c>
      <c r="AX47" s="217">
        <v>333</v>
      </c>
      <c r="AY47" s="217">
        <v>402</v>
      </c>
      <c r="AZ47" s="217">
        <f t="shared" si="1"/>
        <v>634</v>
      </c>
      <c r="BA47" s="217">
        <v>2190</v>
      </c>
      <c r="BB47" s="217">
        <v>550</v>
      </c>
      <c r="BC47" s="174">
        <v>390</v>
      </c>
      <c r="BD47" s="217">
        <v>357</v>
      </c>
      <c r="BE47" s="217">
        <v>287</v>
      </c>
      <c r="BF47" s="217">
        <v>1584</v>
      </c>
      <c r="BG47" s="217">
        <v>332</v>
      </c>
      <c r="BH47" s="217">
        <v>475</v>
      </c>
      <c r="BI47" s="217">
        <v>515</v>
      </c>
      <c r="BJ47" s="217">
        <v>555</v>
      </c>
      <c r="BK47" s="217">
        <v>1877</v>
      </c>
      <c r="BL47" s="217">
        <v>672</v>
      </c>
      <c r="BM47" s="217">
        <v>630</v>
      </c>
      <c r="BN47" s="217">
        <v>723</v>
      </c>
      <c r="BO47" s="217">
        <v>1090</v>
      </c>
      <c r="BP47" s="217">
        <v>3115</v>
      </c>
      <c r="BQ47" s="217">
        <v>707</v>
      </c>
      <c r="BR47" s="340">
        <v>952</v>
      </c>
    </row>
    <row r="48" spans="1:70" s="275" customFormat="1" ht="22.5">
      <c r="B48" s="271" t="s">
        <v>127</v>
      </c>
      <c r="C48" s="272"/>
      <c r="D48" s="10">
        <f t="shared" ref="D48:H50" si="13">D44/D11</f>
        <v>0.23139784946236558</v>
      </c>
      <c r="E48" s="6">
        <f t="shared" si="13"/>
        <v>0.26445264452644529</v>
      </c>
      <c r="F48" s="6">
        <f t="shared" si="13"/>
        <v>0.25385505011565151</v>
      </c>
      <c r="G48" s="6">
        <f t="shared" si="13"/>
        <v>0.20896814404432132</v>
      </c>
      <c r="H48" s="6">
        <f t="shared" si="13"/>
        <v>0.23862970915479212</v>
      </c>
      <c r="I48" s="12"/>
      <c r="J48" s="6">
        <f t="shared" ref="J48:N50" si="14">J44/J11</f>
        <v>0.27076727964489539</v>
      </c>
      <c r="K48" s="6">
        <f t="shared" si="14"/>
        <v>0.26477763182585851</v>
      </c>
      <c r="L48" s="6">
        <v>0.20082938388625593</v>
      </c>
      <c r="M48" s="6">
        <v>0.18226511289147851</v>
      </c>
      <c r="N48" s="6">
        <v>0.22846332945285217</v>
      </c>
      <c r="O48" s="12"/>
      <c r="P48" s="6">
        <v>0.23344370860927152</v>
      </c>
      <c r="Q48" s="6">
        <v>0.2188963551211566</v>
      </c>
      <c r="R48" s="6">
        <v>0.21902654867256638</v>
      </c>
      <c r="S48" s="6">
        <v>0.23528498214008386</v>
      </c>
      <c r="T48" s="6">
        <v>0.22705596107055961</v>
      </c>
      <c r="U48" s="12"/>
      <c r="V48" s="6">
        <f>V44/(V11+459)</f>
        <v>0.29441340782122905</v>
      </c>
      <c r="W48" s="6">
        <f>W44/(W11+868-459)</f>
        <v>0.24601803876415276</v>
      </c>
      <c r="X48" s="6">
        <f>X44/(X11+1436-459-409)</f>
        <v>0.26469487083489329</v>
      </c>
      <c r="Y48" s="6">
        <f>Y44/(Y11+1993-459-409-568)</f>
        <v>0.22962041070317363</v>
      </c>
      <c r="Z48" s="6">
        <f>Z44/(Z11+1993)</f>
        <v>0.25739340521676884</v>
      </c>
      <c r="AA48" s="12"/>
      <c r="AB48" s="6">
        <f>AB44/(AB11+481)</f>
        <v>0.24731409311143882</v>
      </c>
      <c r="AC48" s="6">
        <f>AC44/(AC11+(908-481))</f>
        <v>0.24910458452722062</v>
      </c>
      <c r="AD48" s="6">
        <f>AD44/(AD11+(1407-908))</f>
        <v>0.20893740405935529</v>
      </c>
      <c r="AE48" s="6">
        <f>AE44/(AE11+(1407-908))</f>
        <v>0.18948380891311317</v>
      </c>
      <c r="AF48" s="6">
        <v>0.22</v>
      </c>
      <c r="AG48" s="12"/>
      <c r="AH48" s="6">
        <f>AH44/(AH11+536)</f>
        <v>0.24136786188579018</v>
      </c>
      <c r="AI48" s="38">
        <f>AI44/(AI11+471)</f>
        <v>0.20576396715504749</v>
      </c>
      <c r="AJ48" s="38">
        <f>AJ44/(AJ11+1522-471-536)</f>
        <v>0.22417153996101363</v>
      </c>
      <c r="AK48" s="38">
        <v>0.18</v>
      </c>
      <c r="AL48" s="38">
        <v>0.21</v>
      </c>
      <c r="AM48" s="38">
        <v>0.2</v>
      </c>
      <c r="AN48" s="38">
        <v>0.22</v>
      </c>
      <c r="AO48" s="38">
        <v>0.28240370784721114</v>
      </c>
      <c r="AP48" s="126">
        <v>0.28000000000000003</v>
      </c>
      <c r="AQ48" s="126">
        <v>0.25</v>
      </c>
      <c r="AR48" s="133">
        <v>0.34</v>
      </c>
      <c r="AS48" s="133">
        <v>0.3</v>
      </c>
      <c r="AT48" s="133">
        <v>0.28999999999999998</v>
      </c>
      <c r="AU48" s="133">
        <v>0.28000000000000003</v>
      </c>
      <c r="AV48" s="133">
        <v>0.3</v>
      </c>
      <c r="AW48" s="133">
        <v>0.31</v>
      </c>
      <c r="AX48" s="133">
        <v>0.22</v>
      </c>
      <c r="AY48" s="133">
        <v>0.19</v>
      </c>
      <c r="AZ48" s="133">
        <v>0.21</v>
      </c>
      <c r="BA48" s="133">
        <v>0.23</v>
      </c>
      <c r="BB48" s="133">
        <v>0.17</v>
      </c>
      <c r="BC48" s="334">
        <v>0.14000000000000001</v>
      </c>
      <c r="BD48" s="133">
        <v>0.14000000000000001</v>
      </c>
      <c r="BE48" s="133">
        <v>0.13</v>
      </c>
      <c r="BF48" s="133">
        <v>0.15</v>
      </c>
      <c r="BG48" s="133">
        <v>0.17</v>
      </c>
      <c r="BH48" s="133">
        <v>0.26</v>
      </c>
      <c r="BI48" s="133">
        <v>0.21</v>
      </c>
      <c r="BJ48" s="133">
        <v>0.22</v>
      </c>
      <c r="BK48" s="133">
        <v>0.22</v>
      </c>
      <c r="BL48" s="133">
        <v>0.25</v>
      </c>
      <c r="BM48" s="133">
        <v>0.25</v>
      </c>
      <c r="BN48" s="133">
        <v>0.25</v>
      </c>
      <c r="BO48" s="133">
        <v>0.26</v>
      </c>
      <c r="BP48" s="133">
        <v>0.25</v>
      </c>
      <c r="BQ48" s="133">
        <v>0.42</v>
      </c>
      <c r="BR48" s="341">
        <v>0.26</v>
      </c>
    </row>
    <row r="49" spans="1:71">
      <c r="A49" s="276"/>
      <c r="B49" s="486" t="s">
        <v>12</v>
      </c>
      <c r="C49" s="277"/>
      <c r="D49" s="11">
        <f t="shared" si="13"/>
        <v>0.25842105263157894</v>
      </c>
      <c r="E49" s="7">
        <f t="shared" si="13"/>
        <v>0.26406926406926406</v>
      </c>
      <c r="F49" s="7">
        <f t="shared" si="13"/>
        <v>0.27016520894071916</v>
      </c>
      <c r="G49" s="7">
        <f t="shared" si="13"/>
        <v>0.25052192066805845</v>
      </c>
      <c r="H49" s="7">
        <f t="shared" si="13"/>
        <v>0.2603859796789515</v>
      </c>
      <c r="I49" s="9"/>
      <c r="J49" s="7">
        <f t="shared" si="14"/>
        <v>0.29068224050968938</v>
      </c>
      <c r="K49" s="7">
        <f t="shared" si="14"/>
        <v>0.29341040462427748</v>
      </c>
      <c r="L49" s="7">
        <f t="shared" si="14"/>
        <v>0.24123879380603097</v>
      </c>
      <c r="M49" s="7">
        <f t="shared" si="14"/>
        <v>0.21867498799807969</v>
      </c>
      <c r="N49" s="7">
        <f t="shared" si="14"/>
        <v>0.26118326118326118</v>
      </c>
      <c r="O49" s="9"/>
      <c r="P49" s="7">
        <f t="shared" ref="P49:T50" si="15">P45/P12</f>
        <v>0.22591473648875462</v>
      </c>
      <c r="Q49" s="7">
        <f t="shared" si="15"/>
        <v>0.2218477955630441</v>
      </c>
      <c r="R49" s="7">
        <f t="shared" si="15"/>
        <v>0.24866452991452992</v>
      </c>
      <c r="S49" s="7">
        <f t="shared" si="15"/>
        <v>0.23964374482187242</v>
      </c>
      <c r="T49" s="7">
        <f t="shared" si="15"/>
        <v>0.23497882477501322</v>
      </c>
      <c r="U49" s="9"/>
      <c r="V49" s="7">
        <f t="shared" ref="V49:Z50" si="16">V45/V12</f>
        <v>0.3347022587268994</v>
      </c>
      <c r="W49" s="7">
        <f t="shared" si="16"/>
        <v>0.24362680683311433</v>
      </c>
      <c r="X49" s="7">
        <f t="shared" si="16"/>
        <v>0.25937834941050375</v>
      </c>
      <c r="Y49" s="7">
        <f t="shared" si="16"/>
        <v>0.20932258767153125</v>
      </c>
      <c r="Z49" s="7">
        <f t="shared" si="16"/>
        <v>0.25961058412381427</v>
      </c>
      <c r="AA49" s="9"/>
      <c r="AB49" s="7">
        <f t="shared" ref="AB49:AE50" si="17">AB45/AB12</f>
        <v>0.24048658764815969</v>
      </c>
      <c r="AC49" s="7">
        <f t="shared" si="17"/>
        <v>0.23324127542053727</v>
      </c>
      <c r="AD49" s="7">
        <f t="shared" si="17"/>
        <v>0.21511627906976744</v>
      </c>
      <c r="AE49" s="7">
        <f t="shared" si="17"/>
        <v>0.1864864864864865</v>
      </c>
      <c r="AF49" s="7">
        <v>0.22</v>
      </c>
      <c r="AG49" s="9"/>
      <c r="AH49" s="7">
        <f t="shared" ref="AH49:AJ50" si="18">AH45/AH12</f>
        <v>0.2314643188137164</v>
      </c>
      <c r="AI49" s="39">
        <f t="shared" si="18"/>
        <v>0.20376522702104097</v>
      </c>
      <c r="AJ49" s="39">
        <f t="shared" si="18"/>
        <v>0.22493481867741172</v>
      </c>
      <c r="AK49" s="39">
        <v>0.16</v>
      </c>
      <c r="AL49" s="39">
        <v>0.2</v>
      </c>
      <c r="AM49" s="39">
        <v>0.21</v>
      </c>
      <c r="AN49" s="39">
        <v>0.22</v>
      </c>
      <c r="AO49" s="39">
        <v>0.25117633878557022</v>
      </c>
      <c r="AP49" s="127">
        <v>0.24</v>
      </c>
      <c r="AQ49" s="127">
        <v>0.23</v>
      </c>
      <c r="AR49" s="134">
        <v>0.30077213144191056</v>
      </c>
      <c r="AS49" s="134">
        <v>0.23</v>
      </c>
      <c r="AT49" s="134">
        <v>0.19</v>
      </c>
      <c r="AU49" s="134">
        <v>0.18080625752105897</v>
      </c>
      <c r="AV49" s="134">
        <v>0.22</v>
      </c>
      <c r="AW49" s="134">
        <v>0.25</v>
      </c>
      <c r="AX49" s="134">
        <v>0.19788401253918494</v>
      </c>
      <c r="AY49" s="134">
        <v>0.15</v>
      </c>
      <c r="AZ49" s="134">
        <v>0.14000000000000001</v>
      </c>
      <c r="BA49" s="134">
        <v>0.19</v>
      </c>
      <c r="BB49" s="134">
        <v>0.17</v>
      </c>
      <c r="BC49" s="335">
        <v>0.12</v>
      </c>
      <c r="BD49" s="134">
        <v>0.13</v>
      </c>
      <c r="BE49" s="134">
        <v>0.06</v>
      </c>
      <c r="BF49" s="134">
        <v>0.12</v>
      </c>
      <c r="BG49" s="134">
        <v>0.12</v>
      </c>
      <c r="BH49" s="134">
        <v>0.2</v>
      </c>
      <c r="BI49" s="134">
        <v>0.13</v>
      </c>
      <c r="BJ49" s="134">
        <v>0.14000000000000001</v>
      </c>
      <c r="BK49" s="134">
        <v>0.15</v>
      </c>
      <c r="BL49" s="134">
        <v>0.17</v>
      </c>
      <c r="BM49" s="134">
        <v>0.16</v>
      </c>
      <c r="BN49" s="134">
        <v>0.16</v>
      </c>
      <c r="BO49" s="134">
        <v>0.15</v>
      </c>
      <c r="BP49" s="134">
        <v>0.16</v>
      </c>
      <c r="BQ49" s="134">
        <v>0.4</v>
      </c>
      <c r="BR49" s="342">
        <v>0.2</v>
      </c>
      <c r="BS49" s="481"/>
    </row>
    <row r="50" spans="1:71">
      <c r="A50" s="276"/>
      <c r="B50" s="486" t="s">
        <v>13</v>
      </c>
      <c r="C50" s="277"/>
      <c r="D50" s="11">
        <f t="shared" si="13"/>
        <v>8.8495575221238937E-3</v>
      </c>
      <c r="E50" s="7">
        <f t="shared" si="13"/>
        <v>0.29963235294117646</v>
      </c>
      <c r="F50" s="7">
        <f t="shared" si="13"/>
        <v>0.19178082191780821</v>
      </c>
      <c r="G50" s="7">
        <f t="shared" si="13"/>
        <v>0.21180555555555555</v>
      </c>
      <c r="H50" s="7">
        <f t="shared" si="13"/>
        <v>0.18618214445939885</v>
      </c>
      <c r="I50" s="9"/>
      <c r="J50" s="7">
        <f t="shared" si="14"/>
        <v>0.19063004846526657</v>
      </c>
      <c r="K50" s="7">
        <f t="shared" si="14"/>
        <v>0.10578512396694215</v>
      </c>
      <c r="L50" s="7">
        <f t="shared" si="14"/>
        <v>0.14092140921409213</v>
      </c>
      <c r="M50" s="7">
        <f t="shared" si="14"/>
        <v>0.13495934959349593</v>
      </c>
      <c r="N50" s="7">
        <f t="shared" si="14"/>
        <v>0.14318975552968569</v>
      </c>
      <c r="O50" s="9"/>
      <c r="P50" s="7">
        <f t="shared" si="15"/>
        <v>0.23639455782312926</v>
      </c>
      <c r="Q50" s="7">
        <f t="shared" si="15"/>
        <v>0.21803278688524591</v>
      </c>
      <c r="R50" s="7">
        <f t="shared" si="15"/>
        <v>0.21378091872791519</v>
      </c>
      <c r="S50" s="7">
        <f t="shared" si="15"/>
        <v>0.28664072632944226</v>
      </c>
      <c r="T50" s="7">
        <f t="shared" si="15"/>
        <v>0.24220907297830374</v>
      </c>
      <c r="U50" s="9"/>
      <c r="V50" s="7">
        <f t="shared" si="16"/>
        <v>0.12931034482758622</v>
      </c>
      <c r="W50" s="7">
        <f t="shared" si="16"/>
        <v>0.31447587354409318</v>
      </c>
      <c r="X50" s="7">
        <f t="shared" si="16"/>
        <v>0.31209150326797386</v>
      </c>
      <c r="Y50" s="7">
        <f t="shared" si="16"/>
        <v>0.31149567367119901</v>
      </c>
      <c r="Z50" s="7">
        <f t="shared" si="16"/>
        <v>0.2717140661029977</v>
      </c>
      <c r="AA50" s="9"/>
      <c r="AB50" s="7">
        <f t="shared" si="17"/>
        <v>0.27586206896551724</v>
      </c>
      <c r="AC50" s="7">
        <f t="shared" si="17"/>
        <v>0.30769230769230771</v>
      </c>
      <c r="AD50" s="7">
        <f t="shared" si="17"/>
        <v>0.19759679572763686</v>
      </c>
      <c r="AE50" s="7">
        <f t="shared" si="17"/>
        <v>0.23980222496909764</v>
      </c>
      <c r="AF50" s="7">
        <v>0.25</v>
      </c>
      <c r="AG50" s="9"/>
      <c r="AH50" s="7">
        <f t="shared" si="18"/>
        <v>0.25147928994082841</v>
      </c>
      <c r="AI50" s="39">
        <f t="shared" si="18"/>
        <v>0.22493224932249323</v>
      </c>
      <c r="AJ50" s="39">
        <f t="shared" si="18"/>
        <v>0.1995540691192865</v>
      </c>
      <c r="AK50" s="39">
        <v>0.25</v>
      </c>
      <c r="AL50" s="39">
        <v>0.23</v>
      </c>
      <c r="AM50" s="39">
        <v>0.08</v>
      </c>
      <c r="AN50" s="39">
        <v>0.13</v>
      </c>
      <c r="AO50" s="39">
        <v>0.30779392338177014</v>
      </c>
      <c r="AP50" s="127">
        <v>0.31</v>
      </c>
      <c r="AQ50" s="127">
        <v>0.22</v>
      </c>
      <c r="AR50" s="134">
        <v>0.31733333333333336</v>
      </c>
      <c r="AS50" s="134">
        <v>0.45</v>
      </c>
      <c r="AT50" s="134">
        <v>0.52</v>
      </c>
      <c r="AU50" s="134">
        <v>0.41656662665066024</v>
      </c>
      <c r="AV50" s="134">
        <v>0.43</v>
      </c>
      <c r="AW50" s="134">
        <v>0.41</v>
      </c>
      <c r="AX50" s="134">
        <v>0.28783783783783784</v>
      </c>
      <c r="AY50" s="134">
        <v>0.21</v>
      </c>
      <c r="AZ50" s="134">
        <v>0.31</v>
      </c>
      <c r="BA50" s="134">
        <v>0.31</v>
      </c>
      <c r="BB50" s="327">
        <v>-0.24</v>
      </c>
      <c r="BC50" s="336">
        <v>-0.36</v>
      </c>
      <c r="BD50" s="327">
        <v>-0.24</v>
      </c>
      <c r="BE50" s="327">
        <v>0.42</v>
      </c>
      <c r="BF50" s="327">
        <v>-0.06</v>
      </c>
      <c r="BG50" s="327">
        <v>0.47</v>
      </c>
      <c r="BH50" s="327">
        <v>0.5</v>
      </c>
      <c r="BI50" s="327">
        <v>0.47</v>
      </c>
      <c r="BJ50" s="327">
        <v>0.49</v>
      </c>
      <c r="BK50" s="327">
        <v>0.48</v>
      </c>
      <c r="BL50" s="327">
        <v>0.52</v>
      </c>
      <c r="BM50" s="327">
        <v>0.55000000000000004</v>
      </c>
      <c r="BN50" s="327">
        <v>0.52</v>
      </c>
      <c r="BO50" s="327">
        <v>0.56999999999999995</v>
      </c>
      <c r="BP50" s="327">
        <v>0.54</v>
      </c>
      <c r="BQ50" s="327">
        <v>0.48</v>
      </c>
      <c r="BR50" s="343">
        <v>0.4</v>
      </c>
      <c r="BS50" s="481"/>
    </row>
    <row r="51" spans="1:71" ht="13.5" customHeight="1">
      <c r="A51" s="276"/>
      <c r="B51" s="486" t="s">
        <v>14</v>
      </c>
      <c r="C51" s="277"/>
      <c r="D51" s="177">
        <v>0</v>
      </c>
      <c r="E51" s="174">
        <v>0</v>
      </c>
      <c r="F51" s="174">
        <v>0</v>
      </c>
      <c r="G51" s="174">
        <f>H51-D51-E51-F51</f>
        <v>0</v>
      </c>
      <c r="H51" s="174">
        <v>0</v>
      </c>
      <c r="I51" s="278"/>
      <c r="J51" s="174">
        <v>0</v>
      </c>
      <c r="K51" s="174">
        <v>0</v>
      </c>
      <c r="L51" s="7">
        <v>-0.15151515151515152</v>
      </c>
      <c r="M51" s="7">
        <v>-0.17732558139534885</v>
      </c>
      <c r="N51" s="7">
        <v>-0.16611842105263158</v>
      </c>
      <c r="O51" s="278"/>
      <c r="P51" s="7">
        <v>0.26582278481012656</v>
      </c>
      <c r="Q51" s="7">
        <v>0.1907356948228883</v>
      </c>
      <c r="R51" s="7">
        <v>-0.10452961672473868</v>
      </c>
      <c r="S51" s="7">
        <v>0.15330188679245282</v>
      </c>
      <c r="T51" s="7">
        <v>0.13558106169296988</v>
      </c>
      <c r="U51" s="278"/>
      <c r="V51" s="7">
        <f>V47/459</f>
        <v>0.26579520697167758</v>
      </c>
      <c r="W51" s="7">
        <f>W47/(868-459)</f>
        <v>0.17848410757946209</v>
      </c>
      <c r="X51" s="7">
        <f>X47/(1436-459-409)</f>
        <v>0.32218309859154931</v>
      </c>
      <c r="Y51" s="7">
        <f>Y47/(1993-568-459-409)</f>
        <v>0.414721723518851</v>
      </c>
      <c r="Z51" s="7">
        <f>Z47/(1993)</f>
        <v>0.30556949322629201</v>
      </c>
      <c r="AA51" s="278"/>
      <c r="AB51" s="7">
        <f>AB47/481</f>
        <v>0.3388773388773389</v>
      </c>
      <c r="AC51" s="7">
        <f>AC47/(908-481)</f>
        <v>0.39812646370023419</v>
      </c>
      <c r="AD51" s="7">
        <f>AD47/(1407-908)</f>
        <v>0.30260521042084171</v>
      </c>
      <c r="AE51" s="7">
        <f>AE47/(1948-1407)</f>
        <v>0.2754158964879852</v>
      </c>
      <c r="AF51" s="7">
        <v>0.32</v>
      </c>
      <c r="AG51" s="278"/>
      <c r="AH51" s="7">
        <f>AH47/536</f>
        <v>0.40671641791044777</v>
      </c>
      <c r="AI51" s="39">
        <f>AI47/471</f>
        <v>0.2781316348195329</v>
      </c>
      <c r="AJ51" s="39">
        <f>AJ47/(1522-471-536)</f>
        <v>0.33592233009708738</v>
      </c>
      <c r="AK51" s="39">
        <v>0.28999999999999998</v>
      </c>
      <c r="AL51" s="39">
        <v>0.33</v>
      </c>
      <c r="AM51" s="39">
        <v>0.28999999999999998</v>
      </c>
      <c r="AN51" s="39">
        <v>0.41</v>
      </c>
      <c r="AO51" s="39">
        <v>0.56159999999999999</v>
      </c>
      <c r="AP51" s="127">
        <v>0.61</v>
      </c>
      <c r="AQ51" s="127">
        <v>0.52</v>
      </c>
      <c r="AR51" s="134">
        <v>0.68259023354564752</v>
      </c>
      <c r="AS51" s="134">
        <v>0.69</v>
      </c>
      <c r="AT51" s="134">
        <v>0.67</v>
      </c>
      <c r="AU51" s="134">
        <v>0.71100917431192656</v>
      </c>
      <c r="AV51" s="134">
        <v>0.69</v>
      </c>
      <c r="AW51" s="134">
        <v>0.69</v>
      </c>
      <c r="AX51" s="134">
        <v>0.44758064516129031</v>
      </c>
      <c r="AY51" s="134">
        <v>0.45</v>
      </c>
      <c r="AZ51" s="134">
        <v>0.45</v>
      </c>
      <c r="BA51" s="134">
        <v>0.55000000000000004</v>
      </c>
      <c r="BB51" s="134">
        <v>0.59</v>
      </c>
      <c r="BC51" s="335">
        <v>0.23</v>
      </c>
      <c r="BD51" s="134">
        <v>0.46</v>
      </c>
      <c r="BE51" s="134">
        <v>0.34</v>
      </c>
      <c r="BF51" s="134">
        <v>0.48</v>
      </c>
      <c r="BG51" s="134">
        <v>0.49</v>
      </c>
      <c r="BH51" s="134">
        <v>0.52</v>
      </c>
      <c r="BI51" s="134">
        <v>0.55000000000000004</v>
      </c>
      <c r="BJ51" s="134">
        <v>0.54</v>
      </c>
      <c r="BK51" s="134">
        <v>0.53</v>
      </c>
      <c r="BL51" s="134">
        <v>0.65</v>
      </c>
      <c r="BM51" s="134">
        <v>0.64</v>
      </c>
      <c r="BN51" s="134">
        <v>0.68</v>
      </c>
      <c r="BO51" s="134">
        <v>0.71</v>
      </c>
      <c r="BP51" s="134">
        <v>0.67</v>
      </c>
      <c r="BQ51" s="134">
        <v>0.63</v>
      </c>
      <c r="BR51" s="342">
        <v>0.66</v>
      </c>
      <c r="BS51" s="481"/>
    </row>
    <row r="52" spans="1:71" ht="35.25" customHeight="1">
      <c r="A52" s="276"/>
      <c r="B52" s="337" t="s">
        <v>128</v>
      </c>
      <c r="C52" s="277"/>
      <c r="D52" s="295"/>
      <c r="E52" s="295"/>
      <c r="F52" s="295"/>
      <c r="G52" s="295"/>
      <c r="H52" s="295"/>
      <c r="J52" s="295"/>
      <c r="K52" s="295"/>
      <c r="L52" s="8"/>
      <c r="M52" s="8"/>
      <c r="N52" s="8"/>
      <c r="P52" s="8"/>
      <c r="Q52" s="8"/>
      <c r="R52" s="8"/>
      <c r="S52" s="8"/>
      <c r="T52" s="8"/>
      <c r="V52" s="8"/>
      <c r="W52" s="8"/>
      <c r="X52" s="8"/>
      <c r="Y52" s="8"/>
      <c r="Z52" s="8"/>
      <c r="AB52" s="8"/>
      <c r="AC52" s="8"/>
      <c r="AD52" s="8"/>
      <c r="AE52" s="8"/>
      <c r="AF52" s="8"/>
      <c r="AH52" s="8"/>
      <c r="AI52" s="324"/>
      <c r="AJ52" s="324"/>
      <c r="AK52" s="324"/>
      <c r="AL52" s="324"/>
      <c r="AM52" s="324"/>
      <c r="AN52" s="324"/>
      <c r="AO52" s="324"/>
      <c r="AP52" s="325"/>
      <c r="AQ52" s="325"/>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row>
    <row r="53" spans="1:71" ht="35.25" customHeight="1">
      <c r="A53" s="276"/>
      <c r="B53" s="277" t="s">
        <v>129</v>
      </c>
      <c r="C53" s="277"/>
      <c r="D53" s="295"/>
      <c r="E53" s="295"/>
      <c r="F53" s="295"/>
      <c r="G53" s="295"/>
      <c r="H53" s="295"/>
      <c r="J53" s="295"/>
      <c r="K53" s="295"/>
      <c r="L53" s="8"/>
      <c r="M53" s="8"/>
      <c r="N53" s="8"/>
      <c r="P53" s="8"/>
      <c r="Q53" s="8"/>
      <c r="R53" s="8"/>
      <c r="S53" s="8"/>
      <c r="T53" s="295"/>
      <c r="V53" s="295"/>
      <c r="W53" s="295"/>
      <c r="X53" s="295"/>
      <c r="Y53" s="295"/>
      <c r="Z53" s="295"/>
      <c r="AB53" s="295"/>
      <c r="AC53" s="295"/>
      <c r="AD53" s="295"/>
      <c r="AE53" s="295"/>
      <c r="AF53" s="295"/>
      <c r="AH53" s="295"/>
      <c r="AI53" s="296"/>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row>
    <row r="54" spans="1:71" ht="35.25" customHeight="1">
      <c r="A54" s="276"/>
      <c r="B54" s="277" t="s">
        <v>130</v>
      </c>
      <c r="C54" s="277"/>
      <c r="D54" s="295"/>
      <c r="E54" s="295"/>
      <c r="F54" s="295"/>
      <c r="G54" s="295"/>
      <c r="H54" s="295"/>
      <c r="J54" s="295"/>
      <c r="K54" s="295"/>
      <c r="L54" s="8"/>
      <c r="M54" s="8"/>
      <c r="N54" s="8"/>
      <c r="P54" s="8"/>
      <c r="Q54" s="8"/>
      <c r="R54" s="8"/>
      <c r="S54" s="8"/>
      <c r="T54" s="295"/>
      <c r="V54" s="295"/>
      <c r="W54" s="295"/>
      <c r="X54" s="295"/>
      <c r="Y54" s="295"/>
      <c r="Z54" s="295"/>
      <c r="AB54" s="295"/>
      <c r="AC54" s="295"/>
      <c r="AD54" s="295"/>
      <c r="AE54" s="295"/>
      <c r="AF54" s="295"/>
      <c r="AH54" s="295"/>
      <c r="AI54" s="296"/>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row>
    <row r="55" spans="1:71" s="275" customFormat="1" ht="12" customHeight="1">
      <c r="B55" s="498" t="s">
        <v>131</v>
      </c>
      <c r="C55" s="289"/>
      <c r="D55" s="297">
        <v>1.9</v>
      </c>
      <c r="E55" s="298">
        <v>1.85</v>
      </c>
      <c r="F55" s="298">
        <v>1.96</v>
      </c>
      <c r="G55" s="298">
        <v>1.87</v>
      </c>
      <c r="H55" s="298">
        <v>1.89</v>
      </c>
      <c r="I55" s="299"/>
      <c r="J55" s="298">
        <v>1.6</v>
      </c>
      <c r="K55" s="298">
        <v>1.57</v>
      </c>
      <c r="L55" s="298">
        <v>1.64</v>
      </c>
      <c r="M55" s="298">
        <v>1.49</v>
      </c>
      <c r="N55" s="298">
        <v>1.59</v>
      </c>
      <c r="O55" s="299"/>
      <c r="P55" s="300">
        <v>1.39</v>
      </c>
      <c r="Q55" s="300">
        <v>1.4</v>
      </c>
      <c r="R55" s="300">
        <v>1.36</v>
      </c>
      <c r="S55" s="300">
        <v>1.49</v>
      </c>
      <c r="T55" s="298">
        <v>1.41</v>
      </c>
      <c r="U55" s="299"/>
      <c r="V55" s="298">
        <v>1.53</v>
      </c>
      <c r="W55" s="298">
        <v>1.41</v>
      </c>
      <c r="X55" s="298">
        <v>1.65</v>
      </c>
      <c r="Y55" s="298">
        <v>1.79</v>
      </c>
      <c r="Z55" s="298">
        <v>1.59</v>
      </c>
      <c r="AA55" s="299"/>
      <c r="AB55" s="298" t="s">
        <v>66</v>
      </c>
      <c r="AC55" s="298">
        <v>1.85</v>
      </c>
      <c r="AD55" s="298">
        <v>1.78</v>
      </c>
      <c r="AE55" s="298">
        <v>1.81</v>
      </c>
      <c r="AF55" s="298">
        <v>1.81</v>
      </c>
      <c r="AG55" s="299"/>
      <c r="AH55" s="298">
        <v>1.74</v>
      </c>
      <c r="AI55" s="298">
        <v>1.79</v>
      </c>
      <c r="AJ55" s="41">
        <v>1.52</v>
      </c>
      <c r="AK55" s="41">
        <v>1.75</v>
      </c>
      <c r="AL55" s="41">
        <v>1.7</v>
      </c>
      <c r="AM55" s="41">
        <v>1.61</v>
      </c>
      <c r="AN55" s="41">
        <v>1.58</v>
      </c>
      <c r="AO55" s="41">
        <v>1.56</v>
      </c>
      <c r="AP55" s="301">
        <v>1.61</v>
      </c>
      <c r="AQ55" s="301">
        <v>1.59</v>
      </c>
      <c r="AR55" s="41">
        <v>1.82</v>
      </c>
      <c r="AS55" s="41">
        <v>1.96</v>
      </c>
      <c r="AT55" s="41">
        <v>2.0299999999999998</v>
      </c>
      <c r="AU55" s="41">
        <v>2</v>
      </c>
      <c r="AV55" s="41">
        <v>1.96</v>
      </c>
      <c r="AW55" s="41">
        <v>2.19</v>
      </c>
      <c r="AX55" s="41">
        <v>2.1800000000000002</v>
      </c>
      <c r="AY55" s="41">
        <v>2.23</v>
      </c>
      <c r="AZ55" s="41">
        <v>2.21</v>
      </c>
      <c r="BA55" s="41">
        <v>2.2000000000000002</v>
      </c>
      <c r="BB55" s="41">
        <v>3</v>
      </c>
      <c r="BC55" s="41">
        <v>2.9</v>
      </c>
      <c r="BD55" s="41">
        <v>2.93</v>
      </c>
      <c r="BE55" s="41">
        <v>2.64</v>
      </c>
      <c r="BF55" s="41">
        <v>2.87</v>
      </c>
      <c r="BG55" s="41">
        <v>2.81</v>
      </c>
      <c r="BH55" s="41">
        <v>2.71</v>
      </c>
      <c r="BI55" s="41">
        <v>2.74</v>
      </c>
      <c r="BJ55" s="41">
        <v>2.4300000000000002</v>
      </c>
      <c r="BK55" s="41">
        <v>2.67</v>
      </c>
      <c r="BL55" s="41">
        <v>2.62</v>
      </c>
      <c r="BM55" s="41">
        <v>2.61</v>
      </c>
      <c r="BN55" s="41">
        <v>2.57</v>
      </c>
      <c r="BO55" s="41">
        <v>2.5099999999999998</v>
      </c>
      <c r="BP55" s="41">
        <v>2.58</v>
      </c>
      <c r="BQ55" s="41">
        <v>1.69</v>
      </c>
      <c r="BR55" s="344">
        <v>2.5</v>
      </c>
    </row>
    <row r="56" spans="1:71">
      <c r="A56" s="276"/>
      <c r="B56" s="486" t="s">
        <v>12</v>
      </c>
      <c r="C56" s="277"/>
      <c r="D56" s="302">
        <v>1.77</v>
      </c>
      <c r="E56" s="303">
        <v>1.82</v>
      </c>
      <c r="F56" s="303">
        <v>1.88</v>
      </c>
      <c r="G56" s="303">
        <v>1.82</v>
      </c>
      <c r="H56" s="303">
        <v>1.82</v>
      </c>
      <c r="I56" s="278"/>
      <c r="J56" s="303">
        <v>1.46</v>
      </c>
      <c r="K56" s="303">
        <v>1.52</v>
      </c>
      <c r="L56" s="303">
        <v>1.49</v>
      </c>
      <c r="M56" s="303">
        <v>1.4</v>
      </c>
      <c r="N56" s="303">
        <v>1.47</v>
      </c>
      <c r="O56" s="278"/>
      <c r="P56" s="304">
        <v>1.33</v>
      </c>
      <c r="Q56" s="304">
        <v>1.32</v>
      </c>
      <c r="R56" s="304">
        <v>1.18</v>
      </c>
      <c r="S56" s="304">
        <v>1.34</v>
      </c>
      <c r="T56" s="303">
        <v>1.3</v>
      </c>
      <c r="U56" s="278"/>
      <c r="V56" s="303">
        <v>1.33</v>
      </c>
      <c r="W56" s="303">
        <v>1.34</v>
      </c>
      <c r="X56" s="303">
        <v>1.62</v>
      </c>
      <c r="Y56" s="303">
        <v>1.84</v>
      </c>
      <c r="Z56" s="303">
        <v>1.52</v>
      </c>
      <c r="AA56" s="278"/>
      <c r="AB56" s="303" t="s">
        <v>67</v>
      </c>
      <c r="AC56" s="303">
        <v>1.96</v>
      </c>
      <c r="AD56" s="303">
        <v>1.82</v>
      </c>
      <c r="AE56" s="303">
        <v>1.82</v>
      </c>
      <c r="AF56" s="303">
        <v>1.85</v>
      </c>
      <c r="AG56" s="278"/>
      <c r="AH56" s="303">
        <v>1.76</v>
      </c>
      <c r="AI56" s="303">
        <v>1.85</v>
      </c>
      <c r="AJ56" s="45">
        <v>1.53</v>
      </c>
      <c r="AK56" s="45">
        <v>1.83</v>
      </c>
      <c r="AL56" s="45">
        <v>1.74</v>
      </c>
      <c r="AM56" s="45">
        <v>1.58</v>
      </c>
      <c r="AN56" s="45">
        <v>1.59</v>
      </c>
      <c r="AO56" s="45">
        <v>1.61</v>
      </c>
      <c r="AP56" s="261">
        <v>1.68</v>
      </c>
      <c r="AQ56" s="261">
        <v>1.62</v>
      </c>
      <c r="AR56" s="45">
        <v>1.93</v>
      </c>
      <c r="AS56" s="45">
        <v>2.2999999999999998</v>
      </c>
      <c r="AT56" s="45">
        <v>2.48</v>
      </c>
      <c r="AU56" s="45">
        <v>2.3199999999999998</v>
      </c>
      <c r="AV56" s="45">
        <v>2.2599999999999998</v>
      </c>
      <c r="AW56" s="45">
        <v>2.4</v>
      </c>
      <c r="AX56" s="45">
        <v>2.42</v>
      </c>
      <c r="AY56" s="45">
        <v>2.38</v>
      </c>
      <c r="AZ56" s="45">
        <v>2.34</v>
      </c>
      <c r="BA56" s="45">
        <v>2.38</v>
      </c>
      <c r="BB56" s="45">
        <v>3.08</v>
      </c>
      <c r="BC56" s="45">
        <v>2.98</v>
      </c>
      <c r="BD56" s="45">
        <v>2.97</v>
      </c>
      <c r="BE56" s="45">
        <v>2.87</v>
      </c>
      <c r="BF56" s="45">
        <v>2.98</v>
      </c>
      <c r="BG56" s="45">
        <v>3.01</v>
      </c>
      <c r="BH56" s="45">
        <v>3</v>
      </c>
      <c r="BI56" s="45">
        <v>3.24</v>
      </c>
      <c r="BJ56" s="45">
        <v>3.03</v>
      </c>
      <c r="BK56" s="45">
        <v>3.07</v>
      </c>
      <c r="BL56" s="45">
        <v>3.15</v>
      </c>
      <c r="BM56" s="45">
        <v>3.16</v>
      </c>
      <c r="BN56" s="45">
        <v>3.12</v>
      </c>
      <c r="BO56" s="45">
        <v>3.19</v>
      </c>
      <c r="BP56" s="45">
        <v>3.16</v>
      </c>
      <c r="BQ56" s="45">
        <v>1.91</v>
      </c>
      <c r="BR56" s="554">
        <v>2.94</v>
      </c>
    </row>
    <row r="57" spans="1:71">
      <c r="A57" s="276"/>
      <c r="B57" s="486" t="s">
        <v>13</v>
      </c>
      <c r="C57" s="277"/>
      <c r="D57" s="302">
        <v>2.74</v>
      </c>
      <c r="E57" s="303">
        <v>2.0299999999999998</v>
      </c>
      <c r="F57" s="303">
        <v>2.25</v>
      </c>
      <c r="G57" s="303">
        <v>2.11</v>
      </c>
      <c r="H57" s="303">
        <v>2.2599999999999998</v>
      </c>
      <c r="I57" s="278"/>
      <c r="J57" s="303">
        <v>2.21</v>
      </c>
      <c r="K57" s="303">
        <v>1.83</v>
      </c>
      <c r="L57" s="303">
        <v>1.74</v>
      </c>
      <c r="M57" s="303">
        <v>1.72</v>
      </c>
      <c r="N57" s="303">
        <v>1.87</v>
      </c>
      <c r="O57" s="278"/>
      <c r="P57" s="304">
        <v>1.48</v>
      </c>
      <c r="Q57" s="304">
        <v>1.59</v>
      </c>
      <c r="R57" s="304">
        <v>1.73</v>
      </c>
      <c r="S57" s="304">
        <v>1.72</v>
      </c>
      <c r="T57" s="303">
        <v>1.63</v>
      </c>
      <c r="U57" s="278"/>
      <c r="V57" s="303">
        <v>2.35</v>
      </c>
      <c r="W57" s="303">
        <v>1.72</v>
      </c>
      <c r="X57" s="303">
        <v>1.9</v>
      </c>
      <c r="Y57" s="303">
        <v>1.81</v>
      </c>
      <c r="Z57" s="303">
        <v>1.92</v>
      </c>
      <c r="AA57" s="278"/>
      <c r="AB57" s="303">
        <v>1.89</v>
      </c>
      <c r="AC57" s="303">
        <v>1.84</v>
      </c>
      <c r="AD57" s="303">
        <v>1.89</v>
      </c>
      <c r="AE57" s="303">
        <v>2.04</v>
      </c>
      <c r="AF57" s="303">
        <v>1.92</v>
      </c>
      <c r="AG57" s="278"/>
      <c r="AH57" s="303">
        <v>1.95</v>
      </c>
      <c r="AI57" s="303">
        <v>1.69</v>
      </c>
      <c r="AJ57" s="45">
        <v>1.74</v>
      </c>
      <c r="AK57" s="45">
        <v>1.6</v>
      </c>
      <c r="AL57" s="45">
        <v>1.72</v>
      </c>
      <c r="AM57" s="45">
        <v>2.19</v>
      </c>
      <c r="AN57" s="45">
        <v>1.83</v>
      </c>
      <c r="AO57" s="45">
        <v>1.62</v>
      </c>
      <c r="AP57" s="261">
        <v>2</v>
      </c>
      <c r="AQ57" s="261">
        <v>1.91</v>
      </c>
      <c r="AR57" s="45">
        <v>2.3199999999999998</v>
      </c>
      <c r="AS57" s="45">
        <v>1.83</v>
      </c>
      <c r="AT57" s="45">
        <v>1.67</v>
      </c>
      <c r="AU57" s="45">
        <v>2.27</v>
      </c>
      <c r="AV57" s="45">
        <v>2.0099999999999998</v>
      </c>
      <c r="AW57" s="45">
        <v>2.23</v>
      </c>
      <c r="AX57" s="45">
        <v>1.77</v>
      </c>
      <c r="AY57" s="45">
        <v>2.0699999999999998</v>
      </c>
      <c r="AZ57" s="45">
        <v>2.4700000000000002</v>
      </c>
      <c r="BA57" s="45">
        <v>2.14</v>
      </c>
      <c r="BB57" s="45">
        <v>5</v>
      </c>
      <c r="BC57" s="45">
        <v>5.66</v>
      </c>
      <c r="BD57" s="45">
        <v>5.4</v>
      </c>
      <c r="BE57" s="45">
        <v>2.2200000000000002</v>
      </c>
      <c r="BF57" s="45">
        <v>4.1500000000000004</v>
      </c>
      <c r="BG57" s="45">
        <v>2.17</v>
      </c>
      <c r="BH57" s="45">
        <v>1.68</v>
      </c>
      <c r="BI57" s="45">
        <v>1.47</v>
      </c>
      <c r="BJ57" s="45">
        <v>1.1399999999999999</v>
      </c>
      <c r="BK57" s="45">
        <v>1.52</v>
      </c>
      <c r="BL57" s="45">
        <v>1.03</v>
      </c>
      <c r="BM57" s="45">
        <v>0.93</v>
      </c>
      <c r="BN57" s="45">
        <v>1.18</v>
      </c>
      <c r="BO57" s="45">
        <v>1.01</v>
      </c>
      <c r="BP57" s="45">
        <v>1.03</v>
      </c>
      <c r="BQ57" s="45">
        <v>0.7</v>
      </c>
      <c r="BR57" s="554">
        <v>1.81</v>
      </c>
    </row>
    <row r="58" spans="1:71">
      <c r="A58" s="276"/>
      <c r="B58" s="486" t="s">
        <v>14</v>
      </c>
      <c r="C58" s="277"/>
      <c r="D58" s="302" t="s">
        <v>15</v>
      </c>
      <c r="E58" s="303" t="s">
        <v>15</v>
      </c>
      <c r="F58" s="303" t="s">
        <v>15</v>
      </c>
      <c r="G58" s="303" t="s">
        <v>15</v>
      </c>
      <c r="H58" s="303" t="s">
        <v>15</v>
      </c>
      <c r="I58" s="278"/>
      <c r="J58" s="303" t="s">
        <v>15</v>
      </c>
      <c r="K58" s="303" t="s">
        <v>15</v>
      </c>
      <c r="L58" s="303">
        <v>2.6</v>
      </c>
      <c r="M58" s="303">
        <v>2.56</v>
      </c>
      <c r="N58" s="303">
        <v>2.58</v>
      </c>
      <c r="O58" s="278"/>
      <c r="P58" s="304">
        <v>1.73</v>
      </c>
      <c r="Q58" s="304">
        <v>1.77</v>
      </c>
      <c r="R58" s="304">
        <v>2.19</v>
      </c>
      <c r="S58" s="304">
        <v>2.11</v>
      </c>
      <c r="T58" s="303">
        <v>1.96</v>
      </c>
      <c r="U58" s="278"/>
      <c r="V58" s="303">
        <v>1.94</v>
      </c>
      <c r="W58" s="303">
        <v>1.53</v>
      </c>
      <c r="X58" s="303">
        <v>1.56</v>
      </c>
      <c r="Y58" s="303">
        <v>1.44</v>
      </c>
      <c r="Z58" s="303">
        <v>1.67</v>
      </c>
      <c r="AA58" s="278"/>
      <c r="AB58" s="303">
        <v>1.43</v>
      </c>
      <c r="AC58" s="303">
        <v>0.83</v>
      </c>
      <c r="AD58" s="303">
        <v>1.29</v>
      </c>
      <c r="AE58" s="303">
        <v>1.56</v>
      </c>
      <c r="AF58" s="303">
        <v>1.31</v>
      </c>
      <c r="AG58" s="278"/>
      <c r="AH58" s="303">
        <v>1.34</v>
      </c>
      <c r="AI58" s="303">
        <v>1.58</v>
      </c>
      <c r="AJ58" s="45">
        <v>1.25</v>
      </c>
      <c r="AK58" s="45">
        <v>1.47</v>
      </c>
      <c r="AL58" s="45">
        <v>1.41</v>
      </c>
      <c r="AM58" s="45">
        <v>1.1499999999999999</v>
      </c>
      <c r="AN58" s="45">
        <v>1.34</v>
      </c>
      <c r="AO58" s="45">
        <v>1.21</v>
      </c>
      <c r="AP58" s="261">
        <v>1.08</v>
      </c>
      <c r="AQ58" s="261">
        <v>1.19</v>
      </c>
      <c r="AR58" s="45">
        <v>0.93</v>
      </c>
      <c r="AS58" s="45">
        <v>0.81</v>
      </c>
      <c r="AT58" s="45">
        <v>0.71</v>
      </c>
      <c r="AU58" s="45">
        <v>0.69</v>
      </c>
      <c r="AV58" s="45">
        <v>0.78</v>
      </c>
      <c r="AW58" s="45">
        <v>1.35</v>
      </c>
      <c r="AX58" s="45">
        <v>1.41</v>
      </c>
      <c r="AY58" s="45">
        <v>1.68</v>
      </c>
      <c r="AZ58" s="45">
        <v>1.55</v>
      </c>
      <c r="BA58" s="45">
        <v>1.5</v>
      </c>
      <c r="BB58" s="45">
        <v>1.48</v>
      </c>
      <c r="BC58" s="45">
        <v>1.5</v>
      </c>
      <c r="BD58" s="45">
        <v>1.69</v>
      </c>
      <c r="BE58" s="45">
        <v>2.02</v>
      </c>
      <c r="BF58" s="45">
        <v>1.68</v>
      </c>
      <c r="BG58" s="45">
        <v>1.9</v>
      </c>
      <c r="BH58" s="45">
        <v>1.88</v>
      </c>
      <c r="BI58" s="45">
        <v>1.68</v>
      </c>
      <c r="BJ58" s="45">
        <v>1.1200000000000001</v>
      </c>
      <c r="BK58" s="45">
        <v>1.6</v>
      </c>
      <c r="BL58" s="45">
        <v>1.18</v>
      </c>
      <c r="BM58" s="45">
        <v>1.07</v>
      </c>
      <c r="BN58" s="45">
        <v>0.68</v>
      </c>
      <c r="BO58" s="45">
        <v>0.54</v>
      </c>
      <c r="BP58" s="45">
        <v>0.86</v>
      </c>
      <c r="BQ58" s="45">
        <v>1.02</v>
      </c>
      <c r="BR58" s="554">
        <v>0.72</v>
      </c>
    </row>
    <row r="59" spans="1:71">
      <c r="A59" s="276"/>
      <c r="B59" s="277"/>
      <c r="C59" s="277"/>
      <c r="D59" s="305"/>
      <c r="E59" s="305"/>
      <c r="F59" s="305"/>
      <c r="G59" s="305"/>
      <c r="H59" s="305"/>
      <c r="J59" s="305"/>
      <c r="K59" s="305"/>
      <c r="L59" s="305"/>
      <c r="M59" s="305"/>
      <c r="N59" s="305"/>
      <c r="P59" s="306"/>
      <c r="Q59" s="306"/>
      <c r="R59" s="306"/>
      <c r="S59" s="306"/>
      <c r="T59" s="305"/>
      <c r="V59" s="305"/>
      <c r="W59" s="305"/>
      <c r="X59" s="305"/>
      <c r="Y59" s="305"/>
      <c r="Z59" s="305"/>
      <c r="AB59" s="305"/>
      <c r="AC59" s="305"/>
      <c r="AD59" s="305"/>
      <c r="AE59" s="305"/>
      <c r="AF59" s="305"/>
      <c r="AH59" s="305"/>
      <c r="AI59" s="305"/>
      <c r="AJ59" s="307"/>
      <c r="AK59" s="307"/>
      <c r="AL59" s="307"/>
      <c r="AO59" s="51"/>
      <c r="AS59" s="204"/>
      <c r="AT59" s="204"/>
      <c r="AU59" s="204"/>
      <c r="AV59" s="204"/>
    </row>
    <row r="60" spans="1:71" ht="12" customHeight="1">
      <c r="B60" s="289"/>
      <c r="C60" s="289"/>
      <c r="D60" s="305"/>
      <c r="E60" s="305"/>
      <c r="F60" s="305"/>
      <c r="G60" s="305"/>
      <c r="H60" s="305"/>
      <c r="I60" s="308"/>
      <c r="J60" s="305"/>
      <c r="K60" s="305"/>
      <c r="L60" s="305"/>
      <c r="M60" s="305"/>
      <c r="N60" s="305"/>
      <c r="O60" s="308"/>
      <c r="P60" s="309"/>
      <c r="Q60" s="309"/>
      <c r="R60" s="309"/>
      <c r="S60" s="309"/>
      <c r="T60" s="305"/>
      <c r="U60" s="308"/>
      <c r="V60" s="305"/>
      <c r="W60" s="305"/>
      <c r="X60" s="305"/>
      <c r="Y60" s="305"/>
      <c r="Z60" s="305"/>
      <c r="AA60" s="308"/>
      <c r="AB60" s="305"/>
      <c r="AC60" s="305"/>
      <c r="AD60" s="305"/>
      <c r="AE60" s="305"/>
      <c r="AF60" s="305"/>
      <c r="AG60" s="308"/>
      <c r="AH60" s="305"/>
      <c r="AI60" s="305"/>
      <c r="AJ60" s="307"/>
      <c r="AK60" s="307"/>
      <c r="AL60" s="307"/>
      <c r="AO60" s="51"/>
      <c r="AS60" s="204"/>
      <c r="AT60" s="204"/>
      <c r="AU60" s="204"/>
      <c r="AV60" s="204"/>
    </row>
    <row r="61" spans="1:71" s="250" customFormat="1" ht="12" customHeight="1">
      <c r="B61" s="246" t="s">
        <v>132</v>
      </c>
      <c r="C61" s="246"/>
      <c r="D61" s="310"/>
      <c r="E61" s="310"/>
      <c r="F61" s="310"/>
      <c r="G61" s="310"/>
      <c r="H61" s="172"/>
      <c r="I61" s="311"/>
      <c r="J61" s="310"/>
      <c r="K61" s="310"/>
      <c r="L61" s="310"/>
      <c r="M61" s="310"/>
      <c r="N61" s="172"/>
      <c r="O61" s="311"/>
      <c r="P61" s="310"/>
      <c r="Q61" s="310"/>
      <c r="R61" s="310"/>
      <c r="S61" s="310"/>
      <c r="T61" s="310"/>
      <c r="U61" s="311"/>
      <c r="V61" s="310"/>
      <c r="W61" s="310"/>
      <c r="X61" s="310"/>
      <c r="Y61" s="310"/>
      <c r="Z61" s="310"/>
      <c r="AA61" s="311"/>
      <c r="AB61" s="310"/>
      <c r="AC61" s="310"/>
      <c r="AD61" s="310"/>
      <c r="AE61" s="310"/>
      <c r="AF61" s="310"/>
      <c r="AG61" s="311"/>
      <c r="AH61" s="310"/>
      <c r="AI61" s="310"/>
      <c r="AJ61" s="43"/>
      <c r="AK61" s="43"/>
      <c r="AL61" s="43"/>
      <c r="AM61" s="51"/>
      <c r="AN61" s="51"/>
      <c r="AO61" s="51"/>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row>
    <row r="62" spans="1:71" s="250" customFormat="1" ht="12" customHeight="1">
      <c r="B62" s="500" t="s">
        <v>133</v>
      </c>
      <c r="C62" s="255"/>
      <c r="D62" s="28">
        <v>401</v>
      </c>
      <c r="E62" s="29">
        <v>392</v>
      </c>
      <c r="F62" s="29">
        <v>403</v>
      </c>
      <c r="G62" s="29">
        <v>439</v>
      </c>
      <c r="H62" s="29">
        <v>1635</v>
      </c>
      <c r="I62" s="281"/>
      <c r="J62" s="29">
        <v>564</v>
      </c>
      <c r="K62" s="29">
        <v>516</v>
      </c>
      <c r="L62" s="29">
        <v>486</v>
      </c>
      <c r="M62" s="29">
        <v>449</v>
      </c>
      <c r="N62" s="29">
        <v>2015</v>
      </c>
      <c r="O62" s="281"/>
      <c r="P62" s="29">
        <v>404</v>
      </c>
      <c r="Q62" s="29">
        <v>425</v>
      </c>
      <c r="R62" s="29">
        <v>435</v>
      </c>
      <c r="S62" s="29">
        <v>454</v>
      </c>
      <c r="T62" s="29">
        <v>1718</v>
      </c>
      <c r="U62" s="281"/>
      <c r="V62" s="29">
        <v>405</v>
      </c>
      <c r="W62" s="29">
        <v>428</v>
      </c>
      <c r="X62" s="29">
        <v>404</v>
      </c>
      <c r="Y62" s="29">
        <v>447</v>
      </c>
      <c r="Z62" s="29">
        <f t="shared" ref="Z62:Z74" si="19">V62+W62+X62+Y62</f>
        <v>1684</v>
      </c>
      <c r="AA62" s="281"/>
      <c r="AB62" s="29">
        <v>417</v>
      </c>
      <c r="AC62" s="29">
        <v>576</v>
      </c>
      <c r="AD62" s="29">
        <v>432</v>
      </c>
      <c r="AE62" s="29">
        <v>478</v>
      </c>
      <c r="AF62" s="29">
        <v>1903</v>
      </c>
      <c r="AG62" s="281"/>
      <c r="AH62" s="29">
        <v>496</v>
      </c>
      <c r="AI62" s="29">
        <v>465</v>
      </c>
      <c r="AJ62" s="217">
        <v>481</v>
      </c>
      <c r="AK62" s="217">
        <v>571</v>
      </c>
      <c r="AL62" s="217">
        <v>2013</v>
      </c>
      <c r="AM62" s="217">
        <v>499</v>
      </c>
      <c r="AN62" s="217">
        <v>489</v>
      </c>
      <c r="AO62" s="217">
        <v>456</v>
      </c>
      <c r="AP62" s="279">
        <v>618</v>
      </c>
      <c r="AQ62" s="279">
        <v>2062</v>
      </c>
      <c r="AR62" s="279">
        <v>623</v>
      </c>
      <c r="AS62" s="217">
        <v>573</v>
      </c>
      <c r="AT62" s="217">
        <v>532</v>
      </c>
      <c r="AU62" s="217">
        <v>526</v>
      </c>
      <c r="AV62" s="217">
        <v>2254</v>
      </c>
      <c r="AW62" s="217">
        <v>578</v>
      </c>
      <c r="AX62" s="217">
        <v>581</v>
      </c>
      <c r="AY62" s="217">
        <v>576</v>
      </c>
      <c r="AZ62" s="217">
        <f t="shared" ref="AZ62:AZ74" si="20">BA62-AY62-AX62-AW62</f>
        <v>663</v>
      </c>
      <c r="BA62" s="217">
        <v>2398</v>
      </c>
      <c r="BB62" s="217">
        <v>585</v>
      </c>
      <c r="BC62" s="217">
        <v>639</v>
      </c>
      <c r="BD62" s="217">
        <v>661</v>
      </c>
      <c r="BE62" s="217">
        <v>756</v>
      </c>
      <c r="BF62" s="217">
        <v>2641</v>
      </c>
      <c r="BG62" s="217">
        <v>593</v>
      </c>
      <c r="BH62" s="217">
        <f>1240-593</f>
        <v>647</v>
      </c>
      <c r="BI62" s="217">
        <v>627</v>
      </c>
      <c r="BJ62" s="217">
        <v>646</v>
      </c>
      <c r="BK62" s="217">
        <f>BJ62+BI62+BH62+BG62</f>
        <v>2513</v>
      </c>
      <c r="BL62" s="217">
        <v>696</v>
      </c>
      <c r="BM62" s="217">
        <v>707</v>
      </c>
      <c r="BN62" s="217">
        <v>715</v>
      </c>
      <c r="BO62" s="217">
        <v>700</v>
      </c>
      <c r="BP62" s="217">
        <v>2818</v>
      </c>
      <c r="BQ62" s="217">
        <v>710</v>
      </c>
      <c r="BR62" s="340">
        <v>712</v>
      </c>
    </row>
    <row r="63" spans="1:71" s="250" customFormat="1" ht="12" customHeight="1">
      <c r="B63" s="500" t="s">
        <v>134</v>
      </c>
      <c r="C63" s="255"/>
      <c r="D63" s="28">
        <v>1160</v>
      </c>
      <c r="E63" s="29">
        <v>1137</v>
      </c>
      <c r="F63" s="29">
        <v>1166</v>
      </c>
      <c r="G63" s="29">
        <v>1241</v>
      </c>
      <c r="H63" s="29">
        <v>4704</v>
      </c>
      <c r="I63" s="281"/>
      <c r="J63" s="29">
        <v>1179</v>
      </c>
      <c r="K63" s="29">
        <v>1118</v>
      </c>
      <c r="L63" s="29">
        <v>1172</v>
      </c>
      <c r="M63" s="29">
        <v>1237</v>
      </c>
      <c r="N63" s="29">
        <v>4706</v>
      </c>
      <c r="O63" s="281"/>
      <c r="P63" s="29">
        <v>1128</v>
      </c>
      <c r="Q63" s="29">
        <v>1178</v>
      </c>
      <c r="R63" s="29">
        <v>1152</v>
      </c>
      <c r="S63" s="29">
        <v>1214</v>
      </c>
      <c r="T63" s="29">
        <v>4672</v>
      </c>
      <c r="U63" s="281"/>
      <c r="V63" s="29">
        <v>1173</v>
      </c>
      <c r="W63" s="29">
        <v>1235</v>
      </c>
      <c r="X63" s="29">
        <v>1210</v>
      </c>
      <c r="Y63" s="29">
        <v>1338</v>
      </c>
      <c r="Z63" s="29">
        <f t="shared" si="19"/>
        <v>4956</v>
      </c>
      <c r="AA63" s="281"/>
      <c r="AB63" s="29">
        <v>1223</v>
      </c>
      <c r="AC63" s="29">
        <v>1357</v>
      </c>
      <c r="AD63" s="29">
        <v>1290</v>
      </c>
      <c r="AE63" s="29">
        <v>1332</v>
      </c>
      <c r="AF63" s="29">
        <v>5202</v>
      </c>
      <c r="AG63" s="281"/>
      <c r="AH63" s="29">
        <v>1344</v>
      </c>
      <c r="AI63" s="29">
        <v>1363</v>
      </c>
      <c r="AJ63" s="217">
        <v>1443</v>
      </c>
      <c r="AK63" s="217">
        <v>1444</v>
      </c>
      <c r="AL63" s="217">
        <v>5594</v>
      </c>
      <c r="AM63" s="217">
        <v>1368</v>
      </c>
      <c r="AN63" s="217">
        <v>1430</v>
      </c>
      <c r="AO63" s="217">
        <v>1466</v>
      </c>
      <c r="AP63" s="279">
        <v>1620</v>
      </c>
      <c r="AQ63" s="279">
        <v>5884</v>
      </c>
      <c r="AR63" s="279">
        <v>1486</v>
      </c>
      <c r="AS63" s="217">
        <v>1641</v>
      </c>
      <c r="AT63" s="217">
        <v>1624</v>
      </c>
      <c r="AU63" s="217">
        <v>1692</v>
      </c>
      <c r="AV63" s="217">
        <v>6443</v>
      </c>
      <c r="AW63" s="217">
        <v>1578</v>
      </c>
      <c r="AX63" s="217">
        <v>1945</v>
      </c>
      <c r="AY63" s="217">
        <v>1801</v>
      </c>
      <c r="AZ63" s="217">
        <f t="shared" si="20"/>
        <v>2009</v>
      </c>
      <c r="BA63" s="217">
        <v>7333</v>
      </c>
      <c r="BB63" s="217">
        <v>1925</v>
      </c>
      <c r="BC63" s="217">
        <v>2143</v>
      </c>
      <c r="BD63" s="217">
        <v>2058</v>
      </c>
      <c r="BE63" s="217">
        <v>2170</v>
      </c>
      <c r="BF63" s="217">
        <v>8296</v>
      </c>
      <c r="BG63" s="217">
        <v>2028</v>
      </c>
      <c r="BH63" s="217">
        <f>4252-2028</f>
        <v>2224</v>
      </c>
      <c r="BI63" s="217">
        <v>2236</v>
      </c>
      <c r="BJ63" s="217">
        <v>2477</v>
      </c>
      <c r="BK63" s="217">
        <f t="shared" ref="BK63:BK74" si="21">BJ63+BI63+BH63+BG63</f>
        <v>8965</v>
      </c>
      <c r="BL63" s="217">
        <v>2242</v>
      </c>
      <c r="BM63" s="217">
        <v>2293</v>
      </c>
      <c r="BN63" s="217">
        <v>2272</v>
      </c>
      <c r="BO63" s="217">
        <v>2710</v>
      </c>
      <c r="BP63" s="217">
        <v>9517</v>
      </c>
      <c r="BQ63" s="217">
        <v>2360</v>
      </c>
      <c r="BR63" s="340">
        <v>2853</v>
      </c>
    </row>
    <row r="64" spans="1:71" s="250" customFormat="1" ht="12" customHeight="1">
      <c r="B64" s="500" t="s">
        <v>135</v>
      </c>
      <c r="C64" s="255"/>
      <c r="D64" s="28">
        <v>1950</v>
      </c>
      <c r="E64" s="29">
        <v>1794</v>
      </c>
      <c r="F64" s="29">
        <v>1995</v>
      </c>
      <c r="G64" s="29">
        <v>1868</v>
      </c>
      <c r="H64" s="29">
        <v>7607</v>
      </c>
      <c r="I64" s="281"/>
      <c r="J64" s="29">
        <v>1755</v>
      </c>
      <c r="K64" s="29">
        <v>1949</v>
      </c>
      <c r="L64" s="29">
        <v>1673</v>
      </c>
      <c r="M64" s="29">
        <v>1887</v>
      </c>
      <c r="N64" s="29">
        <v>7264</v>
      </c>
      <c r="O64" s="281"/>
      <c r="P64" s="29">
        <v>1780</v>
      </c>
      <c r="Q64" s="29">
        <v>1819</v>
      </c>
      <c r="R64" s="29">
        <v>1550</v>
      </c>
      <c r="S64" s="29">
        <v>1886</v>
      </c>
      <c r="T64" s="29">
        <v>7035</v>
      </c>
      <c r="U64" s="281"/>
      <c r="V64" s="29">
        <v>1770</v>
      </c>
      <c r="W64" s="29">
        <v>1844</v>
      </c>
      <c r="X64" s="29">
        <v>1972</v>
      </c>
      <c r="Y64" s="29">
        <v>1874</v>
      </c>
      <c r="Z64" s="29">
        <f t="shared" si="19"/>
        <v>7460</v>
      </c>
      <c r="AA64" s="281"/>
      <c r="AB64" s="29">
        <v>1821</v>
      </c>
      <c r="AC64" s="29">
        <v>1558</v>
      </c>
      <c r="AD64" s="29">
        <v>1711</v>
      </c>
      <c r="AE64" s="29">
        <v>2007</v>
      </c>
      <c r="AF64" s="29">
        <v>7097</v>
      </c>
      <c r="AG64" s="281"/>
      <c r="AH64" s="29">
        <v>2041</v>
      </c>
      <c r="AI64" s="29">
        <v>1984</v>
      </c>
      <c r="AJ64" s="217">
        <v>1936</v>
      </c>
      <c r="AK64" s="217">
        <v>1984</v>
      </c>
      <c r="AL64" s="217">
        <v>7945</v>
      </c>
      <c r="AM64" s="217">
        <v>1945</v>
      </c>
      <c r="AN64" s="217">
        <v>1753</v>
      </c>
      <c r="AO64" s="217">
        <v>2084</v>
      </c>
      <c r="AP64" s="279">
        <v>2132</v>
      </c>
      <c r="AQ64" s="279">
        <v>7914</v>
      </c>
      <c r="AR64" s="279">
        <v>2740</v>
      </c>
      <c r="AS64" s="217">
        <v>3092</v>
      </c>
      <c r="AT64" s="217">
        <v>3020</v>
      </c>
      <c r="AU64" s="217">
        <v>3110</v>
      </c>
      <c r="AV64" s="217">
        <v>11962</v>
      </c>
      <c r="AW64" s="217">
        <v>3886</v>
      </c>
      <c r="AX64" s="217">
        <v>4172</v>
      </c>
      <c r="AY64" s="217">
        <v>3773</v>
      </c>
      <c r="AZ64" s="217">
        <f t="shared" si="20"/>
        <v>4045</v>
      </c>
      <c r="BA64" s="217">
        <v>15876</v>
      </c>
      <c r="BB64" s="217">
        <v>4239</v>
      </c>
      <c r="BC64" s="217">
        <v>3714</v>
      </c>
      <c r="BD64" s="217">
        <v>3343</v>
      </c>
      <c r="BE64" s="217">
        <v>3576</v>
      </c>
      <c r="BF64" s="217">
        <v>14872</v>
      </c>
      <c r="BG64" s="217">
        <v>3483</v>
      </c>
      <c r="BH64" s="217">
        <f>6846-3483</f>
        <v>3363</v>
      </c>
      <c r="BI64" s="217">
        <v>3321</v>
      </c>
      <c r="BJ64" s="217">
        <v>3161</v>
      </c>
      <c r="BK64" s="217">
        <f t="shared" si="21"/>
        <v>13328</v>
      </c>
      <c r="BL64" s="217">
        <v>3652</v>
      </c>
      <c r="BM64" s="217">
        <v>3290</v>
      </c>
      <c r="BN64" s="217">
        <v>3321</v>
      </c>
      <c r="BO64" s="217">
        <v>3979</v>
      </c>
      <c r="BP64" s="217">
        <v>14242</v>
      </c>
      <c r="BQ64" s="217">
        <v>4450</v>
      </c>
      <c r="BR64" s="340">
        <v>5016</v>
      </c>
    </row>
    <row r="65" spans="1:70" s="250" customFormat="1" ht="12" customHeight="1">
      <c r="B65" s="500" t="s">
        <v>136</v>
      </c>
      <c r="C65" s="255"/>
      <c r="D65" s="28">
        <v>451</v>
      </c>
      <c r="E65" s="29">
        <v>433</v>
      </c>
      <c r="F65" s="29">
        <v>453</v>
      </c>
      <c r="G65" s="29">
        <v>476</v>
      </c>
      <c r="H65" s="29">
        <v>1813</v>
      </c>
      <c r="I65" s="281"/>
      <c r="J65" s="29">
        <v>418</v>
      </c>
      <c r="K65" s="29">
        <v>532</v>
      </c>
      <c r="L65" s="29">
        <v>545</v>
      </c>
      <c r="M65" s="29">
        <v>615</v>
      </c>
      <c r="N65" s="29">
        <v>2110</v>
      </c>
      <c r="O65" s="281"/>
      <c r="P65" s="29">
        <v>479</v>
      </c>
      <c r="Q65" s="29">
        <v>550</v>
      </c>
      <c r="R65" s="29">
        <v>524</v>
      </c>
      <c r="S65" s="29">
        <v>639</v>
      </c>
      <c r="T65" s="29">
        <v>2192</v>
      </c>
      <c r="U65" s="281"/>
      <c r="V65" s="29">
        <v>455</v>
      </c>
      <c r="W65" s="29">
        <v>594</v>
      </c>
      <c r="X65" s="29">
        <v>481</v>
      </c>
      <c r="Y65" s="29">
        <v>626</v>
      </c>
      <c r="Z65" s="29">
        <f t="shared" si="19"/>
        <v>2156</v>
      </c>
      <c r="AA65" s="281"/>
      <c r="AB65" s="29">
        <v>509</v>
      </c>
      <c r="AC65" s="29">
        <v>522</v>
      </c>
      <c r="AD65" s="29">
        <v>690</v>
      </c>
      <c r="AE65" s="29">
        <v>683</v>
      </c>
      <c r="AF65" s="29">
        <v>2404</v>
      </c>
      <c r="AG65" s="281"/>
      <c r="AH65" s="29">
        <v>478</v>
      </c>
      <c r="AI65" s="29">
        <v>646</v>
      </c>
      <c r="AJ65" s="217">
        <v>811</v>
      </c>
      <c r="AK65" s="217">
        <v>720</v>
      </c>
      <c r="AL65" s="217">
        <v>2655</v>
      </c>
      <c r="AM65" s="217">
        <v>507</v>
      </c>
      <c r="AN65" s="217">
        <v>505</v>
      </c>
      <c r="AO65" s="217">
        <v>549</v>
      </c>
      <c r="AP65" s="279">
        <v>665</v>
      </c>
      <c r="AQ65" s="279">
        <v>2226</v>
      </c>
      <c r="AR65" s="279">
        <v>469</v>
      </c>
      <c r="AS65" s="217">
        <v>516</v>
      </c>
      <c r="AT65" s="217">
        <v>494</v>
      </c>
      <c r="AU65" s="217">
        <v>721</v>
      </c>
      <c r="AV65" s="217">
        <v>2200</v>
      </c>
      <c r="AW65" s="217">
        <v>528</v>
      </c>
      <c r="AX65" s="217">
        <v>616</v>
      </c>
      <c r="AY65" s="217">
        <v>660</v>
      </c>
      <c r="AZ65" s="217">
        <f t="shared" si="20"/>
        <v>800</v>
      </c>
      <c r="BA65" s="217">
        <v>2604</v>
      </c>
      <c r="BB65" s="217">
        <v>694</v>
      </c>
      <c r="BC65" s="217">
        <v>713</v>
      </c>
      <c r="BD65" s="217">
        <v>741</v>
      </c>
      <c r="BE65" s="217">
        <v>812</v>
      </c>
      <c r="BF65" s="217">
        <v>2960</v>
      </c>
      <c r="BG65" s="217">
        <v>642</v>
      </c>
      <c r="BH65" s="217">
        <f>1424-642</f>
        <v>782</v>
      </c>
      <c r="BI65" s="217">
        <v>799</v>
      </c>
      <c r="BJ65" s="217">
        <v>868</v>
      </c>
      <c r="BK65" s="217">
        <f t="shared" si="21"/>
        <v>3091</v>
      </c>
      <c r="BL65" s="217">
        <v>688</v>
      </c>
      <c r="BM65" s="217">
        <v>755</v>
      </c>
      <c r="BN65" s="217">
        <v>796</v>
      </c>
      <c r="BO65" s="217">
        <v>821</v>
      </c>
      <c r="BP65" s="217">
        <v>3060</v>
      </c>
      <c r="BQ65" s="217">
        <v>726</v>
      </c>
      <c r="BR65" s="340">
        <v>759</v>
      </c>
    </row>
    <row r="66" spans="1:70" s="250" customFormat="1" ht="12" customHeight="1">
      <c r="B66" s="500" t="s">
        <v>137</v>
      </c>
      <c r="C66" s="255"/>
      <c r="D66" s="28">
        <v>395</v>
      </c>
      <c r="E66" s="29">
        <v>353</v>
      </c>
      <c r="F66" s="29">
        <v>383</v>
      </c>
      <c r="G66" s="29">
        <v>389</v>
      </c>
      <c r="H66" s="29">
        <v>1520</v>
      </c>
      <c r="I66" s="281"/>
      <c r="J66" s="29">
        <v>393</v>
      </c>
      <c r="K66" s="29">
        <v>417</v>
      </c>
      <c r="L66" s="29">
        <v>325</v>
      </c>
      <c r="M66" s="29">
        <v>304</v>
      </c>
      <c r="N66" s="29">
        <v>1439</v>
      </c>
      <c r="O66" s="281"/>
      <c r="P66" s="29">
        <v>293</v>
      </c>
      <c r="Q66" s="29">
        <v>313</v>
      </c>
      <c r="R66" s="29">
        <v>336</v>
      </c>
      <c r="S66" s="29">
        <v>396</v>
      </c>
      <c r="T66" s="29">
        <v>1338</v>
      </c>
      <c r="U66" s="281"/>
      <c r="V66" s="29">
        <v>466</v>
      </c>
      <c r="W66" s="29">
        <v>405</v>
      </c>
      <c r="X66" s="29">
        <v>438</v>
      </c>
      <c r="Y66" s="29">
        <v>456</v>
      </c>
      <c r="Z66" s="29">
        <f t="shared" si="19"/>
        <v>1765</v>
      </c>
      <c r="AA66" s="281"/>
      <c r="AB66" s="29">
        <v>434</v>
      </c>
      <c r="AC66" s="29">
        <v>466</v>
      </c>
      <c r="AD66" s="29">
        <v>397</v>
      </c>
      <c r="AE66" s="29">
        <v>374</v>
      </c>
      <c r="AF66" s="29">
        <v>1671</v>
      </c>
      <c r="AG66" s="281"/>
      <c r="AH66" s="29">
        <v>420</v>
      </c>
      <c r="AI66" s="29">
        <v>446</v>
      </c>
      <c r="AJ66" s="217">
        <v>326</v>
      </c>
      <c r="AK66" s="217">
        <v>328</v>
      </c>
      <c r="AL66" s="217">
        <v>1520</v>
      </c>
      <c r="AM66" s="217">
        <v>344</v>
      </c>
      <c r="AN66" s="217">
        <v>334</v>
      </c>
      <c r="AO66" s="217">
        <v>442</v>
      </c>
      <c r="AP66" s="279">
        <v>505</v>
      </c>
      <c r="AQ66" s="279">
        <v>1625</v>
      </c>
      <c r="AR66" s="279">
        <v>718</v>
      </c>
      <c r="AS66" s="217">
        <v>917</v>
      </c>
      <c r="AT66" s="217">
        <v>904</v>
      </c>
      <c r="AU66" s="217">
        <v>1009</v>
      </c>
      <c r="AV66" s="217">
        <v>3548</v>
      </c>
      <c r="AW66" s="217">
        <v>844</v>
      </c>
      <c r="AX66" s="217">
        <v>809</v>
      </c>
      <c r="AY66" s="217">
        <v>647</v>
      </c>
      <c r="AZ66" s="217">
        <f t="shared" si="20"/>
        <v>746</v>
      </c>
      <c r="BA66" s="217">
        <v>3046</v>
      </c>
      <c r="BB66" s="217">
        <v>1068</v>
      </c>
      <c r="BC66" s="217">
        <v>905</v>
      </c>
      <c r="BD66" s="217">
        <v>824</v>
      </c>
      <c r="BE66" s="217">
        <v>699</v>
      </c>
      <c r="BF66" s="217">
        <v>3496</v>
      </c>
      <c r="BG66" s="217">
        <v>805</v>
      </c>
      <c r="BH66" s="217">
        <f>1955-805</f>
        <v>1150</v>
      </c>
      <c r="BI66" s="217">
        <v>914</v>
      </c>
      <c r="BJ66" s="217">
        <v>996</v>
      </c>
      <c r="BK66" s="217">
        <f t="shared" si="21"/>
        <v>3865</v>
      </c>
      <c r="BL66" s="217">
        <v>1060</v>
      </c>
      <c r="BM66" s="217">
        <v>1022</v>
      </c>
      <c r="BN66" s="217">
        <v>1070</v>
      </c>
      <c r="BO66" s="217">
        <v>1541</v>
      </c>
      <c r="BP66" s="217">
        <v>4693</v>
      </c>
      <c r="BQ66" s="217">
        <v>1903</v>
      </c>
      <c r="BR66" s="340">
        <v>2158</v>
      </c>
    </row>
    <row r="67" spans="1:70" s="250" customFormat="1" ht="12" customHeight="1">
      <c r="B67" s="500" t="s">
        <v>138</v>
      </c>
      <c r="C67" s="255"/>
      <c r="D67" s="28">
        <v>134</v>
      </c>
      <c r="E67" s="29">
        <v>103</v>
      </c>
      <c r="F67" s="29">
        <v>123</v>
      </c>
      <c r="G67" s="29">
        <v>128</v>
      </c>
      <c r="H67" s="29">
        <v>488</v>
      </c>
      <c r="I67" s="281"/>
      <c r="J67" s="29">
        <v>140</v>
      </c>
      <c r="K67" s="29">
        <v>109</v>
      </c>
      <c r="L67" s="29">
        <v>132</v>
      </c>
      <c r="M67" s="29">
        <v>123</v>
      </c>
      <c r="N67" s="29">
        <v>504</v>
      </c>
      <c r="O67" s="281"/>
      <c r="P67" s="29">
        <v>128</v>
      </c>
      <c r="Q67" s="29">
        <v>127</v>
      </c>
      <c r="R67" s="29">
        <v>119</v>
      </c>
      <c r="S67" s="29">
        <v>125</v>
      </c>
      <c r="T67" s="29">
        <v>499</v>
      </c>
      <c r="U67" s="281"/>
      <c r="V67" s="29">
        <v>136</v>
      </c>
      <c r="W67" s="29">
        <v>125</v>
      </c>
      <c r="X67" s="29">
        <v>127</v>
      </c>
      <c r="Y67" s="29">
        <v>118</v>
      </c>
      <c r="Z67" s="29">
        <f t="shared" si="19"/>
        <v>506</v>
      </c>
      <c r="AA67" s="281"/>
      <c r="AB67" s="29">
        <v>140</v>
      </c>
      <c r="AC67" s="29">
        <v>138</v>
      </c>
      <c r="AD67" s="29">
        <v>127</v>
      </c>
      <c r="AE67" s="29">
        <v>130</v>
      </c>
      <c r="AF67" s="29">
        <v>535</v>
      </c>
      <c r="AG67" s="281"/>
      <c r="AH67" s="29">
        <v>132</v>
      </c>
      <c r="AI67" s="29">
        <v>128</v>
      </c>
      <c r="AJ67" s="217">
        <v>128</v>
      </c>
      <c r="AK67" s="217">
        <v>133</v>
      </c>
      <c r="AL67" s="217">
        <v>521</v>
      </c>
      <c r="AM67" s="217">
        <v>139</v>
      </c>
      <c r="AN67" s="217">
        <v>127</v>
      </c>
      <c r="AO67" s="217">
        <v>115</v>
      </c>
      <c r="AP67" s="279">
        <v>163</v>
      </c>
      <c r="AQ67" s="279">
        <v>544</v>
      </c>
      <c r="AR67" s="279">
        <v>220</v>
      </c>
      <c r="AS67" s="217">
        <v>217</v>
      </c>
      <c r="AT67" s="217">
        <v>258</v>
      </c>
      <c r="AU67" s="217">
        <v>-34</v>
      </c>
      <c r="AV67" s="217">
        <v>661</v>
      </c>
      <c r="AW67" s="217">
        <v>320</v>
      </c>
      <c r="AX67" s="217">
        <v>53</v>
      </c>
      <c r="AY67" s="217">
        <v>164</v>
      </c>
      <c r="AZ67" s="217">
        <f t="shared" si="20"/>
        <v>249</v>
      </c>
      <c r="BA67" s="217">
        <v>786</v>
      </c>
      <c r="BB67" s="217">
        <v>355</v>
      </c>
      <c r="BC67" s="217">
        <v>58</v>
      </c>
      <c r="BD67" s="217">
        <v>189</v>
      </c>
      <c r="BE67" s="217">
        <v>272</v>
      </c>
      <c r="BF67" s="217">
        <v>874</v>
      </c>
      <c r="BG67" s="217">
        <v>349</v>
      </c>
      <c r="BH67" s="217">
        <f>483-349</f>
        <v>134</v>
      </c>
      <c r="BI67" s="217">
        <v>201</v>
      </c>
      <c r="BJ67" s="217">
        <v>255</v>
      </c>
      <c r="BK67" s="217">
        <f t="shared" si="21"/>
        <v>939</v>
      </c>
      <c r="BL67" s="217">
        <v>279</v>
      </c>
      <c r="BM67" s="217">
        <v>216</v>
      </c>
      <c r="BN67" s="217">
        <v>227</v>
      </c>
      <c r="BO67" s="217">
        <v>270</v>
      </c>
      <c r="BP67" s="217">
        <v>992</v>
      </c>
      <c r="BQ67" s="217">
        <v>287</v>
      </c>
      <c r="BR67" s="340">
        <v>221</v>
      </c>
    </row>
    <row r="68" spans="1:70" s="250" customFormat="1" ht="24" customHeight="1">
      <c r="B68" s="485" t="s">
        <v>139</v>
      </c>
      <c r="C68" s="255"/>
      <c r="D68" s="28">
        <v>0</v>
      </c>
      <c r="E68" s="29">
        <v>0</v>
      </c>
      <c r="F68" s="29">
        <v>1</v>
      </c>
      <c r="G68" s="29">
        <v>42</v>
      </c>
      <c r="H68" s="29">
        <v>43</v>
      </c>
      <c r="I68" s="281"/>
      <c r="J68" s="29">
        <v>0</v>
      </c>
      <c r="K68" s="29">
        <v>0</v>
      </c>
      <c r="L68" s="29">
        <v>26</v>
      </c>
      <c r="M68" s="29">
        <v>2391</v>
      </c>
      <c r="N68" s="29">
        <v>2417</v>
      </c>
      <c r="O68" s="281"/>
      <c r="P68" s="29">
        <v>0</v>
      </c>
      <c r="Q68" s="29">
        <v>0</v>
      </c>
      <c r="R68" s="29">
        <v>0</v>
      </c>
      <c r="S68" s="29">
        <v>269</v>
      </c>
      <c r="T68" s="29">
        <v>269</v>
      </c>
      <c r="U68" s="281"/>
      <c r="V68" s="29">
        <v>0</v>
      </c>
      <c r="W68" s="29">
        <v>0</v>
      </c>
      <c r="X68" s="29">
        <v>0</v>
      </c>
      <c r="Y68" s="29">
        <v>-344</v>
      </c>
      <c r="Z68" s="29">
        <f t="shared" si="19"/>
        <v>-344</v>
      </c>
      <c r="AA68" s="281"/>
      <c r="AB68" s="29">
        <v>0</v>
      </c>
      <c r="AC68" s="29">
        <v>0</v>
      </c>
      <c r="AD68" s="29">
        <v>0</v>
      </c>
      <c r="AE68" s="29">
        <v>9</v>
      </c>
      <c r="AF68" s="29">
        <f>-26+35</f>
        <v>9</v>
      </c>
      <c r="AG68" s="281"/>
      <c r="AH68" s="29">
        <v>0</v>
      </c>
      <c r="AI68" s="29">
        <v>0</v>
      </c>
      <c r="AJ68" s="217">
        <v>0</v>
      </c>
      <c r="AK68" s="217">
        <v>-19</v>
      </c>
      <c r="AL68" s="217">
        <v>-19</v>
      </c>
      <c r="AM68" s="217">
        <v>27</v>
      </c>
      <c r="AN68" s="217">
        <v>65</v>
      </c>
      <c r="AO68" s="217">
        <v>0</v>
      </c>
      <c r="AP68" s="279">
        <v>70</v>
      </c>
      <c r="AQ68" s="279">
        <v>162</v>
      </c>
      <c r="AR68" s="149">
        <v>-1</v>
      </c>
      <c r="AS68" s="217">
        <v>-23</v>
      </c>
      <c r="AT68" s="217">
        <v>0</v>
      </c>
      <c r="AU68" s="217">
        <v>322</v>
      </c>
      <c r="AV68" s="217">
        <v>298</v>
      </c>
      <c r="AW68" s="217">
        <v>0</v>
      </c>
      <c r="AX68" s="217">
        <v>47</v>
      </c>
      <c r="AY68" s="217">
        <v>-1</v>
      </c>
      <c r="AZ68" s="217">
        <f t="shared" si="20"/>
        <v>34</v>
      </c>
      <c r="BA68" s="217">
        <f>-3+83</f>
        <v>80</v>
      </c>
      <c r="BB68" s="217">
        <v>8</v>
      </c>
      <c r="BC68" s="217">
        <v>-1</v>
      </c>
      <c r="BD68" s="217">
        <v>-1</v>
      </c>
      <c r="BE68" s="217">
        <v>2719</v>
      </c>
      <c r="BF68" s="217">
        <v>2725</v>
      </c>
      <c r="BG68" s="217">
        <v>0</v>
      </c>
      <c r="BH68" s="217">
        <v>15</v>
      </c>
      <c r="BI68" s="217">
        <v>-57</v>
      </c>
      <c r="BJ68" s="217">
        <f>264-1</f>
        <v>263</v>
      </c>
      <c r="BK68" s="217">
        <f t="shared" si="21"/>
        <v>221</v>
      </c>
      <c r="BL68" s="217">
        <v>0</v>
      </c>
      <c r="BM68" s="217">
        <v>1</v>
      </c>
      <c r="BN68" s="217">
        <v>1</v>
      </c>
      <c r="BO68" s="217">
        <v>314</v>
      </c>
      <c r="BP68" s="217">
        <v>316</v>
      </c>
      <c r="BQ68" s="217">
        <v>0</v>
      </c>
      <c r="BR68" s="340">
        <v>-1</v>
      </c>
    </row>
    <row r="69" spans="1:70" s="250" customFormat="1" ht="12" customHeight="1">
      <c r="B69" s="500" t="s">
        <v>140</v>
      </c>
      <c r="C69" s="255"/>
      <c r="D69" s="28">
        <v>35</v>
      </c>
      <c r="E69" s="29">
        <v>68</v>
      </c>
      <c r="F69" s="29">
        <v>64</v>
      </c>
      <c r="G69" s="29">
        <v>136</v>
      </c>
      <c r="H69" s="29">
        <v>303</v>
      </c>
      <c r="I69" s="281"/>
      <c r="J69" s="29">
        <v>50</v>
      </c>
      <c r="K69" s="29">
        <v>126</v>
      </c>
      <c r="L69" s="29">
        <v>80</v>
      </c>
      <c r="M69" s="29">
        <v>115</v>
      </c>
      <c r="N69" s="29">
        <v>371</v>
      </c>
      <c r="O69" s="281"/>
      <c r="P69" s="29">
        <v>43</v>
      </c>
      <c r="Q69" s="29">
        <v>64</v>
      </c>
      <c r="R69" s="29">
        <v>95</v>
      </c>
      <c r="S69" s="29">
        <v>72</v>
      </c>
      <c r="T69" s="29">
        <v>274</v>
      </c>
      <c r="U69" s="281"/>
      <c r="V69" s="29">
        <v>52</v>
      </c>
      <c r="W69" s="29">
        <v>62</v>
      </c>
      <c r="X69" s="29">
        <v>48</v>
      </c>
      <c r="Y69" s="29">
        <v>178</v>
      </c>
      <c r="Z69" s="29">
        <f t="shared" si="19"/>
        <v>340</v>
      </c>
      <c r="AA69" s="281"/>
      <c r="AB69" s="29">
        <v>52</v>
      </c>
      <c r="AC69" s="29">
        <v>51</v>
      </c>
      <c r="AD69" s="29">
        <v>62</v>
      </c>
      <c r="AE69" s="29">
        <v>54</v>
      </c>
      <c r="AF69" s="29">
        <v>219</v>
      </c>
      <c r="AG69" s="281"/>
      <c r="AH69" s="29">
        <v>42</v>
      </c>
      <c r="AI69" s="29">
        <v>63</v>
      </c>
      <c r="AJ69" s="217">
        <v>27</v>
      </c>
      <c r="AK69" s="217">
        <v>293</v>
      </c>
      <c r="AL69" s="217">
        <v>425</v>
      </c>
      <c r="AM69" s="217">
        <f>45+68</f>
        <v>113</v>
      </c>
      <c r="AN69" s="217">
        <v>59</v>
      </c>
      <c r="AO69" s="217">
        <v>46</v>
      </c>
      <c r="AP69" s="279">
        <v>66</v>
      </c>
      <c r="AQ69" s="279">
        <v>284</v>
      </c>
      <c r="AR69" s="149">
        <v>30</v>
      </c>
      <c r="AS69" s="217">
        <v>78</v>
      </c>
      <c r="AT69" s="217">
        <v>3</v>
      </c>
      <c r="AU69" s="217">
        <v>60</v>
      </c>
      <c r="AV69" s="217">
        <v>171</v>
      </c>
      <c r="AW69" s="217">
        <v>37</v>
      </c>
      <c r="AX69" s="217">
        <v>79</v>
      </c>
      <c r="AY69" s="217">
        <v>54</v>
      </c>
      <c r="AZ69" s="217">
        <f t="shared" si="20"/>
        <v>95</v>
      </c>
      <c r="BA69" s="217">
        <v>265</v>
      </c>
      <c r="BB69" s="217">
        <v>245</v>
      </c>
      <c r="BC69" s="217">
        <v>81</v>
      </c>
      <c r="BD69" s="217">
        <v>180</v>
      </c>
      <c r="BE69" s="217">
        <v>170</v>
      </c>
      <c r="BF69" s="217">
        <v>676</v>
      </c>
      <c r="BG69" s="217">
        <f>46+40</f>
        <v>86</v>
      </c>
      <c r="BH69" s="217">
        <f>128-46+3+8</f>
        <v>93</v>
      </c>
      <c r="BI69" s="217">
        <f>48+9</f>
        <v>57</v>
      </c>
      <c r="BJ69" s="217">
        <f>12+26+48-2</f>
        <v>84</v>
      </c>
      <c r="BK69" s="217">
        <f t="shared" si="21"/>
        <v>320</v>
      </c>
      <c r="BL69" s="217">
        <v>49</v>
      </c>
      <c r="BM69" s="217">
        <v>69</v>
      </c>
      <c r="BN69" s="217">
        <v>54</v>
      </c>
      <c r="BO69" s="217">
        <v>99</v>
      </c>
      <c r="BP69" s="217">
        <v>271</v>
      </c>
      <c r="BQ69" s="217">
        <v>49</v>
      </c>
      <c r="BR69" s="340">
        <v>78</v>
      </c>
    </row>
    <row r="70" spans="1:70" s="250" customFormat="1" ht="12" customHeight="1">
      <c r="B70" s="246" t="s">
        <v>141</v>
      </c>
      <c r="C70" s="372"/>
      <c r="D70" s="32">
        <f>SUM(D62:D69)</f>
        <v>4526</v>
      </c>
      <c r="E70" s="33">
        <f>SUM(E62:E69)</f>
        <v>4280</v>
      </c>
      <c r="F70" s="33">
        <f>SUM(F62:F69)</f>
        <v>4588</v>
      </c>
      <c r="G70" s="33">
        <f>SUM(G62:G69)</f>
        <v>4719</v>
      </c>
      <c r="H70" s="33">
        <f>SUM(H62:H69)</f>
        <v>18113</v>
      </c>
      <c r="I70" s="312"/>
      <c r="J70" s="33">
        <f>SUM(J62:J69)</f>
        <v>4499</v>
      </c>
      <c r="K70" s="33">
        <f>SUM(K62:K69)</f>
        <v>4767</v>
      </c>
      <c r="L70" s="33">
        <f>SUM(L62:L69)</f>
        <v>4439</v>
      </c>
      <c r="M70" s="33">
        <f>SUM(M62:M69)</f>
        <v>7121</v>
      </c>
      <c r="N70" s="33">
        <f>SUM(N62:N69)</f>
        <v>20826</v>
      </c>
      <c r="O70" s="312"/>
      <c r="P70" s="33">
        <f t="shared" ref="P70:Y70" si="22">SUM(P62:P69)</f>
        <v>4255</v>
      </c>
      <c r="Q70" s="33">
        <f t="shared" si="22"/>
        <v>4476</v>
      </c>
      <c r="R70" s="33">
        <f t="shared" si="22"/>
        <v>4211</v>
      </c>
      <c r="S70" s="33">
        <f t="shared" si="22"/>
        <v>5055</v>
      </c>
      <c r="T70" s="33">
        <f t="shared" si="22"/>
        <v>17997</v>
      </c>
      <c r="U70" s="312"/>
      <c r="V70" s="33">
        <f t="shared" si="22"/>
        <v>4457</v>
      </c>
      <c r="W70" s="33">
        <f t="shared" si="22"/>
        <v>4693</v>
      </c>
      <c r="X70" s="33">
        <f t="shared" si="22"/>
        <v>4680</v>
      </c>
      <c r="Y70" s="33">
        <f t="shared" si="22"/>
        <v>4693</v>
      </c>
      <c r="Z70" s="33">
        <f t="shared" si="19"/>
        <v>18523</v>
      </c>
      <c r="AA70" s="312"/>
      <c r="AB70" s="33">
        <f>SUM(AB62:AB69)</f>
        <v>4596</v>
      </c>
      <c r="AC70" s="33">
        <f>SUM(AC62:AC69)</f>
        <v>4668</v>
      </c>
      <c r="AD70" s="33">
        <f>SUM(AD62:AD69)</f>
        <v>4709</v>
      </c>
      <c r="AE70" s="33">
        <f>SUM(AE62:AE69)</f>
        <v>5067</v>
      </c>
      <c r="AF70" s="33">
        <f>SUM(AF62:AF69)</f>
        <v>19040</v>
      </c>
      <c r="AG70" s="312"/>
      <c r="AH70" s="33">
        <f>SUM(AH62:AH69)</f>
        <v>4953</v>
      </c>
      <c r="AI70" s="33">
        <f>SUM(AI62:AI69)</f>
        <v>5095</v>
      </c>
      <c r="AJ70" s="191">
        <f>SUM(AJ62:AJ69)</f>
        <v>5152</v>
      </c>
      <c r="AK70" s="191">
        <v>5454</v>
      </c>
      <c r="AL70" s="191">
        <v>20654</v>
      </c>
      <c r="AM70" s="191">
        <v>4942</v>
      </c>
      <c r="AN70" s="191">
        <v>4762</v>
      </c>
      <c r="AO70" s="191">
        <f>SUM(AO62:AO69)</f>
        <v>5158</v>
      </c>
      <c r="AP70" s="274">
        <f>AQ70-AO70-AN70-AM70</f>
        <v>5839</v>
      </c>
      <c r="AQ70" s="274">
        <v>20701</v>
      </c>
      <c r="AR70" s="274">
        <v>6285</v>
      </c>
      <c r="AS70" s="191">
        <v>7011</v>
      </c>
      <c r="AT70" s="191">
        <v>6835</v>
      </c>
      <c r="AU70" s="191">
        <v>7406</v>
      </c>
      <c r="AV70" s="191">
        <v>27537</v>
      </c>
      <c r="AW70" s="191">
        <v>7771</v>
      </c>
      <c r="AX70" s="191">
        <v>8302</v>
      </c>
      <c r="AY70" s="191">
        <v>7674</v>
      </c>
      <c r="AZ70" s="191">
        <f t="shared" si="20"/>
        <v>8641</v>
      </c>
      <c r="BA70" s="191">
        <v>32388</v>
      </c>
      <c r="BB70" s="191">
        <v>9119</v>
      </c>
      <c r="BC70" s="191">
        <v>8252</v>
      </c>
      <c r="BD70" s="191">
        <v>7995</v>
      </c>
      <c r="BE70" s="191">
        <v>11174</v>
      </c>
      <c r="BF70" s="191">
        <v>36540</v>
      </c>
      <c r="BG70" s="191">
        <v>7986</v>
      </c>
      <c r="BH70" s="191">
        <f>16394-7986</f>
        <v>8408</v>
      </c>
      <c r="BI70" s="191">
        <v>8098</v>
      </c>
      <c r="BJ70" s="191">
        <v>8750</v>
      </c>
      <c r="BK70" s="191">
        <f t="shared" si="21"/>
        <v>33242</v>
      </c>
      <c r="BL70" s="191">
        <v>8666</v>
      </c>
      <c r="BM70" s="191">
        <v>8353</v>
      </c>
      <c r="BN70" s="191">
        <v>8456</v>
      </c>
      <c r="BO70" s="191">
        <v>10434</v>
      </c>
      <c r="BP70" s="191">
        <v>35909</v>
      </c>
      <c r="BQ70" s="191">
        <v>10485</v>
      </c>
      <c r="BR70" s="339">
        <v>11796</v>
      </c>
    </row>
    <row r="71" spans="1:70" s="250" customFormat="1" ht="12" customHeight="1">
      <c r="B71" s="500" t="s">
        <v>142</v>
      </c>
      <c r="C71" s="255"/>
      <c r="D71" s="28">
        <v>111</v>
      </c>
      <c r="E71" s="29">
        <v>142</v>
      </c>
      <c r="F71" s="29">
        <v>130</v>
      </c>
      <c r="G71" s="29">
        <v>151</v>
      </c>
      <c r="H71" s="29">
        <v>534</v>
      </c>
      <c r="I71" s="281"/>
      <c r="J71" s="29">
        <v>117</v>
      </c>
      <c r="K71" s="29">
        <v>126</v>
      </c>
      <c r="L71" s="29">
        <v>146</v>
      </c>
      <c r="M71" s="29">
        <v>116</v>
      </c>
      <c r="N71" s="29">
        <v>505</v>
      </c>
      <c r="O71" s="281"/>
      <c r="P71" s="29">
        <v>90</v>
      </c>
      <c r="Q71" s="29">
        <v>122</v>
      </c>
      <c r="R71" s="29">
        <v>105</v>
      </c>
      <c r="S71" s="29">
        <v>119</v>
      </c>
      <c r="T71" s="29">
        <v>436</v>
      </c>
      <c r="U71" s="281"/>
      <c r="V71" s="29">
        <v>160</v>
      </c>
      <c r="W71" s="29">
        <v>133</v>
      </c>
      <c r="X71" s="29">
        <v>144</v>
      </c>
      <c r="Y71" s="29">
        <v>134</v>
      </c>
      <c r="Z71" s="29">
        <f t="shared" si="19"/>
        <v>571</v>
      </c>
      <c r="AA71" s="281"/>
      <c r="AB71" s="29">
        <v>163</v>
      </c>
      <c r="AC71" s="29">
        <v>179</v>
      </c>
      <c r="AD71" s="29">
        <v>180</v>
      </c>
      <c r="AE71" s="29">
        <v>131</v>
      </c>
      <c r="AF71" s="29">
        <v>653</v>
      </c>
      <c r="AG71" s="281"/>
      <c r="AH71" s="29">
        <v>203</v>
      </c>
      <c r="AI71" s="29">
        <v>179</v>
      </c>
      <c r="AJ71" s="217">
        <v>173</v>
      </c>
      <c r="AK71" s="217">
        <v>126</v>
      </c>
      <c r="AL71" s="217">
        <v>681</v>
      </c>
      <c r="AM71" s="217">
        <v>148</v>
      </c>
      <c r="AN71" s="217">
        <v>251</v>
      </c>
      <c r="AO71" s="217">
        <v>152</v>
      </c>
      <c r="AP71" s="279">
        <v>121</v>
      </c>
      <c r="AQ71" s="279">
        <v>672</v>
      </c>
      <c r="AR71" s="279">
        <v>164</v>
      </c>
      <c r="AS71" s="217">
        <v>193</v>
      </c>
      <c r="AT71" s="217">
        <v>218</v>
      </c>
      <c r="AU71" s="217">
        <v>215</v>
      </c>
      <c r="AV71" s="217">
        <v>790</v>
      </c>
      <c r="AW71" s="217">
        <v>243</v>
      </c>
      <c r="AX71" s="217">
        <v>200</v>
      </c>
      <c r="AY71" s="217">
        <v>213</v>
      </c>
      <c r="AZ71" s="217">
        <f t="shared" si="20"/>
        <v>136</v>
      </c>
      <c r="BA71" s="217">
        <v>792</v>
      </c>
      <c r="BB71" s="217">
        <v>205</v>
      </c>
      <c r="BC71" s="217">
        <v>163</v>
      </c>
      <c r="BD71" s="217">
        <v>173</v>
      </c>
      <c r="BE71" s="217">
        <v>138</v>
      </c>
      <c r="BF71" s="217">
        <v>679</v>
      </c>
      <c r="BG71" s="217">
        <v>168</v>
      </c>
      <c r="BH71" s="217">
        <f>304-168</f>
        <v>136</v>
      </c>
      <c r="BI71" s="217">
        <v>118</v>
      </c>
      <c r="BJ71" s="217">
        <v>125</v>
      </c>
      <c r="BK71" s="217">
        <f>BJ71+BI71+BH71+BG71</f>
        <v>547</v>
      </c>
      <c r="BL71" s="217">
        <v>120</v>
      </c>
      <c r="BM71" s="217">
        <v>107</v>
      </c>
      <c r="BN71" s="217">
        <v>97</v>
      </c>
      <c r="BO71" s="217">
        <v>88</v>
      </c>
      <c r="BP71" s="217">
        <v>412</v>
      </c>
      <c r="BQ71" s="217">
        <v>74</v>
      </c>
      <c r="BR71" s="340">
        <v>51</v>
      </c>
    </row>
    <row r="72" spans="1:70" s="250" customFormat="1" ht="12" customHeight="1">
      <c r="B72" s="500" t="s">
        <v>143</v>
      </c>
      <c r="C72" s="255"/>
      <c r="D72" s="28">
        <v>-315</v>
      </c>
      <c r="E72" s="29">
        <v>-119</v>
      </c>
      <c r="F72" s="29">
        <v>-59</v>
      </c>
      <c r="G72" s="29">
        <v>498</v>
      </c>
      <c r="H72" s="29">
        <v>5</v>
      </c>
      <c r="I72" s="281"/>
      <c r="J72" s="29">
        <v>-253</v>
      </c>
      <c r="K72" s="29">
        <v>-192</v>
      </c>
      <c r="L72" s="29">
        <v>141</v>
      </c>
      <c r="M72" s="29">
        <v>300</v>
      </c>
      <c r="N72" s="29">
        <v>-4</v>
      </c>
      <c r="O72" s="281"/>
      <c r="P72" s="29">
        <v>-573</v>
      </c>
      <c r="Q72" s="29">
        <v>-226</v>
      </c>
      <c r="R72" s="29">
        <v>18</v>
      </c>
      <c r="S72" s="29">
        <v>556</v>
      </c>
      <c r="T72" s="29">
        <v>-225</v>
      </c>
      <c r="U72" s="281"/>
      <c r="V72" s="29">
        <v>-531</v>
      </c>
      <c r="W72" s="29">
        <v>-314</v>
      </c>
      <c r="X72" s="29">
        <v>-613</v>
      </c>
      <c r="Y72" s="29">
        <v>379</v>
      </c>
      <c r="Z72" s="29">
        <f t="shared" si="19"/>
        <v>-1079</v>
      </c>
      <c r="AA72" s="281"/>
      <c r="AB72" s="29">
        <v>-836</v>
      </c>
      <c r="AC72" s="29">
        <v>-76</v>
      </c>
      <c r="AD72" s="29">
        <v>142</v>
      </c>
      <c r="AE72" s="29">
        <v>395</v>
      </c>
      <c r="AF72" s="29">
        <v>-375</v>
      </c>
      <c r="AG72" s="281"/>
      <c r="AH72" s="29">
        <v>-158</v>
      </c>
      <c r="AI72" s="29">
        <v>170</v>
      </c>
      <c r="AJ72" s="217">
        <v>-151</v>
      </c>
      <c r="AK72" s="217">
        <v>476</v>
      </c>
      <c r="AL72" s="217">
        <v>337</v>
      </c>
      <c r="AM72" s="217">
        <v>-40</v>
      </c>
      <c r="AN72" s="217">
        <v>263</v>
      </c>
      <c r="AO72" s="217">
        <v>-296</v>
      </c>
      <c r="AP72" s="279">
        <v>547</v>
      </c>
      <c r="AQ72" s="279">
        <v>474</v>
      </c>
      <c r="AR72" s="279">
        <v>-799</v>
      </c>
      <c r="AS72" s="217">
        <v>-402</v>
      </c>
      <c r="AT72" s="217">
        <v>-455</v>
      </c>
      <c r="AU72" s="217">
        <v>112</v>
      </c>
      <c r="AV72" s="217">
        <v>-1544</v>
      </c>
      <c r="AW72" s="217">
        <v>-412</v>
      </c>
      <c r="AX72" s="217">
        <v>-318</v>
      </c>
      <c r="AY72" s="217">
        <v>-451</v>
      </c>
      <c r="AZ72" s="217">
        <f t="shared" si="20"/>
        <v>-827</v>
      </c>
      <c r="BA72" s="217">
        <v>-2008</v>
      </c>
      <c r="BB72" s="217">
        <v>-23</v>
      </c>
      <c r="BC72" s="217">
        <v>-108</v>
      </c>
      <c r="BD72" s="217">
        <v>-36</v>
      </c>
      <c r="BE72" s="217">
        <v>-108</v>
      </c>
      <c r="BF72" s="217">
        <v>-275</v>
      </c>
      <c r="BG72" s="217">
        <v>60</v>
      </c>
      <c r="BH72" s="217">
        <f>-248-60</f>
        <v>-308</v>
      </c>
      <c r="BI72" s="217">
        <v>208</v>
      </c>
      <c r="BJ72" s="217">
        <v>220</v>
      </c>
      <c r="BK72" s="217">
        <f t="shared" si="21"/>
        <v>180</v>
      </c>
      <c r="BL72" s="217">
        <v>-482</v>
      </c>
      <c r="BM72" s="217">
        <v>-386</v>
      </c>
      <c r="BN72" s="217">
        <v>-539</v>
      </c>
      <c r="BO72" s="217">
        <v>-313</v>
      </c>
      <c r="BP72" s="217">
        <v>-1720</v>
      </c>
      <c r="BQ72" s="217">
        <v>-2197</v>
      </c>
      <c r="BR72" s="340">
        <v>-516</v>
      </c>
    </row>
    <row r="73" spans="1:70" s="250" customFormat="1" ht="24" customHeight="1">
      <c r="B73" s="500" t="s">
        <v>144</v>
      </c>
      <c r="C73" s="255"/>
      <c r="D73" s="28">
        <v>-333</v>
      </c>
      <c r="E73" s="29">
        <v>-333</v>
      </c>
      <c r="F73" s="29">
        <v>-393</v>
      </c>
      <c r="G73" s="29">
        <v>-454</v>
      </c>
      <c r="H73" s="29">
        <v>-1513</v>
      </c>
      <c r="I73" s="281"/>
      <c r="J73" s="29">
        <v>-355</v>
      </c>
      <c r="K73" s="29">
        <v>-415</v>
      </c>
      <c r="L73" s="29">
        <v>-434</v>
      </c>
      <c r="M73" s="29">
        <v>-621</v>
      </c>
      <c r="N73" s="29">
        <v>-1825</v>
      </c>
      <c r="O73" s="281"/>
      <c r="P73" s="29">
        <v>-350</v>
      </c>
      <c r="Q73" s="29">
        <v>-456</v>
      </c>
      <c r="R73" s="29">
        <v>-344</v>
      </c>
      <c r="S73" s="29">
        <v>-446</v>
      </c>
      <c r="T73" s="29">
        <v>-1596</v>
      </c>
      <c r="U73" s="281"/>
      <c r="V73" s="29">
        <v>-249</v>
      </c>
      <c r="W73" s="29">
        <v>-513</v>
      </c>
      <c r="X73" s="29">
        <v>-301</v>
      </c>
      <c r="Y73" s="29">
        <v>-405</v>
      </c>
      <c r="Z73" s="29">
        <f t="shared" si="19"/>
        <v>-1468</v>
      </c>
      <c r="AA73" s="281"/>
      <c r="AB73" s="29">
        <v>-316</v>
      </c>
      <c r="AC73" s="29">
        <v>-307</v>
      </c>
      <c r="AD73" s="29">
        <v>-314</v>
      </c>
      <c r="AE73" s="29">
        <v>-446</v>
      </c>
      <c r="AF73" s="29">
        <v>-1383</v>
      </c>
      <c r="AG73" s="281"/>
      <c r="AH73" s="29">
        <v>-249</v>
      </c>
      <c r="AI73" s="29">
        <v>-370</v>
      </c>
      <c r="AJ73" s="217">
        <v>-356</v>
      </c>
      <c r="AK73" s="217">
        <v>-429</v>
      </c>
      <c r="AL73" s="217">
        <v>1404</v>
      </c>
      <c r="AM73" s="217">
        <v>-246</v>
      </c>
      <c r="AN73" s="217">
        <v>-272</v>
      </c>
      <c r="AO73" s="217">
        <v>-348</v>
      </c>
      <c r="AP73" s="279">
        <v>-510</v>
      </c>
      <c r="AQ73" s="279">
        <v>-1376</v>
      </c>
      <c r="AR73" s="279">
        <v>-347</v>
      </c>
      <c r="AS73" s="217">
        <v>-405</v>
      </c>
      <c r="AT73" s="217">
        <v>-434</v>
      </c>
      <c r="AU73" s="217">
        <v>-504</v>
      </c>
      <c r="AV73" s="217">
        <v>-1690</v>
      </c>
      <c r="AW73" s="217">
        <v>-410</v>
      </c>
      <c r="AX73" s="217">
        <v>-481</v>
      </c>
      <c r="AY73" s="217">
        <v>-321</v>
      </c>
      <c r="AZ73" s="217">
        <f t="shared" si="20"/>
        <v>-457</v>
      </c>
      <c r="BA73" s="217">
        <v>-1669</v>
      </c>
      <c r="BB73" s="217">
        <v>-378</v>
      </c>
      <c r="BC73" s="217">
        <v>-368</v>
      </c>
      <c r="BD73" s="217">
        <v>-435</v>
      </c>
      <c r="BE73" s="217">
        <v>-656</v>
      </c>
      <c r="BF73" s="217">
        <v>-1837</v>
      </c>
      <c r="BG73" s="217">
        <v>-485</v>
      </c>
      <c r="BH73" s="217">
        <f>-1080+485</f>
        <v>-595</v>
      </c>
      <c r="BI73" s="217">
        <v>-641</v>
      </c>
      <c r="BJ73" s="217">
        <v>-695</v>
      </c>
      <c r="BK73" s="217">
        <f t="shared" si="21"/>
        <v>-2416</v>
      </c>
      <c r="BL73" s="217">
        <v>-490</v>
      </c>
      <c r="BM73" s="217">
        <v>-433</v>
      </c>
      <c r="BN73" s="217">
        <v>-558</v>
      </c>
      <c r="BO73" s="217">
        <v>-713</v>
      </c>
      <c r="BP73" s="217">
        <v>-2194</v>
      </c>
      <c r="BQ73" s="217">
        <v>-490</v>
      </c>
      <c r="BR73" s="340">
        <v>-549</v>
      </c>
    </row>
    <row r="74" spans="1:70" s="250" customFormat="1" ht="33.75" customHeight="1">
      <c r="B74" s="487" t="s">
        <v>145</v>
      </c>
      <c r="C74" s="372"/>
      <c r="D74" s="32">
        <f>SUM(D70:D73)</f>
        <v>3989</v>
      </c>
      <c r="E74" s="33">
        <f>SUM(E70:E73)</f>
        <v>3970</v>
      </c>
      <c r="F74" s="33">
        <f>SUM(F70:F73)</f>
        <v>4266</v>
      </c>
      <c r="G74" s="33">
        <f>SUM(G70:G73)</f>
        <v>4914</v>
      </c>
      <c r="H74" s="33">
        <f>SUM(H70:H73)</f>
        <v>17139</v>
      </c>
      <c r="I74" s="312"/>
      <c r="J74" s="33">
        <f>SUM(J70:J73)</f>
        <v>4008</v>
      </c>
      <c r="K74" s="33">
        <f>SUM(K70:K73)</f>
        <v>4286</v>
      </c>
      <c r="L74" s="33">
        <f>SUM(L70:L73)</f>
        <v>4292</v>
      </c>
      <c r="M74" s="33">
        <f>SUM(M70:M73)</f>
        <v>6916</v>
      </c>
      <c r="N74" s="33">
        <f>SUM(N70:N73)</f>
        <v>19502</v>
      </c>
      <c r="O74" s="312"/>
      <c r="P74" s="33">
        <f t="shared" ref="P74:Y74" si="23">SUM(P70:P73)</f>
        <v>3422</v>
      </c>
      <c r="Q74" s="33">
        <f t="shared" si="23"/>
        <v>3916</v>
      </c>
      <c r="R74" s="33">
        <f t="shared" si="23"/>
        <v>3990</v>
      </c>
      <c r="S74" s="33">
        <f t="shared" si="23"/>
        <v>5284</v>
      </c>
      <c r="T74" s="33">
        <f t="shared" si="23"/>
        <v>16612</v>
      </c>
      <c r="U74" s="312"/>
      <c r="V74" s="33">
        <f t="shared" si="23"/>
        <v>3837</v>
      </c>
      <c r="W74" s="33">
        <f t="shared" si="23"/>
        <v>3999</v>
      </c>
      <c r="X74" s="33">
        <f t="shared" si="23"/>
        <v>3910</v>
      </c>
      <c r="Y74" s="33">
        <f t="shared" si="23"/>
        <v>4801</v>
      </c>
      <c r="Z74" s="33">
        <f t="shared" si="19"/>
        <v>16547</v>
      </c>
      <c r="AA74" s="312"/>
      <c r="AB74" s="33">
        <f>SUM(AB70:AB73)</f>
        <v>3607</v>
      </c>
      <c r="AC74" s="33">
        <f>SUM(AC70:AC73)</f>
        <v>4464</v>
      </c>
      <c r="AD74" s="33">
        <f>SUM(AD70:AD73)</f>
        <v>4717</v>
      </c>
      <c r="AE74" s="33">
        <f>SUM(AE70:AE73)</f>
        <v>5147</v>
      </c>
      <c r="AF74" s="33">
        <f>AF70+AF71+AF72+AF73</f>
        <v>17935</v>
      </c>
      <c r="AG74" s="312"/>
      <c r="AH74" s="33">
        <f>AH70+AH71+AH72+AH73</f>
        <v>4749</v>
      </c>
      <c r="AI74" s="33">
        <f>AI70+AI71+AI72+AI73</f>
        <v>5074</v>
      </c>
      <c r="AJ74" s="191">
        <f>AJ70+AJ71+AJ72+AJ73</f>
        <v>4818</v>
      </c>
      <c r="AK74" s="191">
        <v>5627</v>
      </c>
      <c r="AL74" s="191">
        <v>20268</v>
      </c>
      <c r="AM74" s="191">
        <v>4804</v>
      </c>
      <c r="AN74" s="191">
        <v>5004</v>
      </c>
      <c r="AO74" s="191">
        <f>AO70+AO71+AO72+AO73</f>
        <v>4666</v>
      </c>
      <c r="AP74" s="274">
        <v>5997</v>
      </c>
      <c r="AQ74" s="274">
        <v>20471</v>
      </c>
      <c r="AR74" s="274">
        <v>5303</v>
      </c>
      <c r="AS74" s="191">
        <v>6397</v>
      </c>
      <c r="AT74" s="191">
        <v>6164</v>
      </c>
      <c r="AU74" s="191">
        <v>7229</v>
      </c>
      <c r="AV74" s="191">
        <v>25093</v>
      </c>
      <c r="AW74" s="191">
        <v>7192</v>
      </c>
      <c r="AX74" s="191">
        <v>7703</v>
      </c>
      <c r="AY74" s="191">
        <v>7115</v>
      </c>
      <c r="AZ74" s="191">
        <f t="shared" si="20"/>
        <v>7493</v>
      </c>
      <c r="BA74" s="191">
        <v>29503</v>
      </c>
      <c r="BB74" s="191">
        <v>8923</v>
      </c>
      <c r="BC74" s="191">
        <v>7939</v>
      </c>
      <c r="BD74" s="191">
        <v>7697</v>
      </c>
      <c r="BE74" s="191">
        <v>10548</v>
      </c>
      <c r="BF74" s="191">
        <v>35107</v>
      </c>
      <c r="BG74" s="191">
        <v>7729</v>
      </c>
      <c r="BH74" s="191">
        <f>15370-7729</f>
        <v>7641</v>
      </c>
      <c r="BI74" s="191">
        <v>7783</v>
      </c>
      <c r="BJ74" s="191">
        <v>8400</v>
      </c>
      <c r="BK74" s="191">
        <f t="shared" si="21"/>
        <v>31553</v>
      </c>
      <c r="BL74" s="191">
        <v>7814</v>
      </c>
      <c r="BM74" s="191">
        <v>7641</v>
      </c>
      <c r="BN74" s="191">
        <v>7456</v>
      </c>
      <c r="BO74" s="191">
        <v>9496</v>
      </c>
      <c r="BP74" s="191">
        <v>32407</v>
      </c>
      <c r="BQ74" s="191">
        <v>7872</v>
      </c>
      <c r="BR74" s="339">
        <v>10782</v>
      </c>
    </row>
    <row r="75" spans="1:70" ht="11.25" customHeight="1">
      <c r="A75" s="372"/>
      <c r="B75" s="372"/>
      <c r="C75" s="372"/>
      <c r="D75" s="250"/>
      <c r="E75" s="250"/>
      <c r="F75" s="250"/>
      <c r="T75" s="250"/>
      <c r="V75" s="250"/>
      <c r="W75" s="250"/>
      <c r="X75" s="250"/>
      <c r="Y75" s="250"/>
      <c r="Z75" s="250"/>
      <c r="AB75" s="250"/>
      <c r="AC75" s="250"/>
      <c r="AD75" s="250"/>
      <c r="AE75" s="250"/>
      <c r="AF75" s="250"/>
      <c r="AH75" s="250"/>
    </row>
    <row r="76" spans="1:70" ht="24" customHeight="1">
      <c r="A76" s="562" t="s">
        <v>146</v>
      </c>
      <c r="B76" s="562"/>
    </row>
  </sheetData>
  <mergeCells count="1">
    <mergeCell ref="A76:B76"/>
  </mergeCells>
  <phoneticPr fontId="47" type="noConversion"/>
  <printOptions horizontalCentered="1"/>
  <pageMargins left="0.23622047244094491" right="0.23622047244094491" top="0.74803149606299213" bottom="0.74803149606299213" header="0.31496062992125984" footer="0.31496062992125984"/>
  <pageSetup paperSize="8" scale="34" fitToHeight="0" orientation="landscape" r:id="rId1"/>
  <headerFooter alignWithMargins="0"/>
  <ignoredErrors>
    <ignoredError sqref="AZ14" formula="1"/>
    <ignoredError sqref="AC21:AD2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B01BF-C280-4C5F-BC9B-5921BC5D5D79}">
  <sheetPr>
    <pageSetUpPr fitToPage="1"/>
  </sheetPr>
  <dimension ref="A1:K80"/>
  <sheetViews>
    <sheetView showGridLines="0" topLeftCell="A13" zoomScale="124" zoomScaleNormal="124" workbookViewId="0">
      <selection activeCell="J11" sqref="J11"/>
    </sheetView>
  </sheetViews>
  <sheetFormatPr defaultColWidth="9.42578125" defaultRowHeight="12.75"/>
  <cols>
    <col min="1" max="1" width="61.5703125" style="152" customWidth="1"/>
    <col min="2" max="2" width="1" style="152" customWidth="1"/>
    <col min="3" max="9" width="13" style="152" customWidth="1"/>
    <col min="10" max="10" width="87.42578125" style="152" customWidth="1"/>
    <col min="11" max="16384" width="9.42578125" style="152"/>
  </cols>
  <sheetData>
    <row r="1" spans="1:9" ht="15">
      <c r="A1" s="151"/>
      <c r="B1" s="151"/>
      <c r="C1" s="145"/>
      <c r="D1" s="145"/>
      <c r="E1" s="145"/>
      <c r="F1" s="145" t="s">
        <v>147</v>
      </c>
      <c r="G1" s="145"/>
      <c r="H1" s="145"/>
      <c r="I1" s="145"/>
    </row>
    <row r="2" spans="1:9" ht="27" customHeight="1">
      <c r="C2" s="564" t="s">
        <v>22</v>
      </c>
      <c r="D2" s="564" t="s">
        <v>23</v>
      </c>
      <c r="E2" s="564" t="s">
        <v>34</v>
      </c>
      <c r="F2" s="564" t="s">
        <v>151</v>
      </c>
      <c r="G2" s="569" t="s">
        <v>152</v>
      </c>
      <c r="H2" s="569"/>
      <c r="I2" s="564" t="s">
        <v>153</v>
      </c>
    </row>
    <row r="3" spans="1:9" ht="61.5" customHeight="1">
      <c r="A3" s="502" t="s">
        <v>160</v>
      </c>
      <c r="B3" s="153"/>
      <c r="C3" s="568"/>
      <c r="D3" s="568"/>
      <c r="E3" s="568"/>
      <c r="F3" s="564"/>
      <c r="G3" s="501" t="s">
        <v>154</v>
      </c>
      <c r="H3" s="501" t="s">
        <v>155</v>
      </c>
      <c r="I3" s="564"/>
    </row>
    <row r="4" spans="1:9">
      <c r="A4" s="503" t="s">
        <v>161</v>
      </c>
      <c r="B4" s="154"/>
      <c r="C4" s="243">
        <v>11434</v>
      </c>
      <c r="D4" s="243">
        <v>900</v>
      </c>
      <c r="E4" s="243">
        <v>1439</v>
      </c>
      <c r="F4" s="243">
        <v>4234</v>
      </c>
      <c r="G4" s="243">
        <v>-1439</v>
      </c>
      <c r="H4" s="243">
        <v>-3729</v>
      </c>
      <c r="I4" s="243">
        <v>12839</v>
      </c>
    </row>
    <row r="5" spans="1:9">
      <c r="A5" s="504" t="s">
        <v>162</v>
      </c>
      <c r="C5" s="155">
        <v>153</v>
      </c>
      <c r="D5" s="155">
        <v>7</v>
      </c>
      <c r="E5" s="155">
        <v>0</v>
      </c>
      <c r="F5" s="155">
        <v>3576</v>
      </c>
      <c r="G5" s="155">
        <v>0</v>
      </c>
      <c r="H5" s="155">
        <v>-3729</v>
      </c>
      <c r="I5" s="155">
        <v>7</v>
      </c>
    </row>
    <row r="6" spans="1:9">
      <c r="A6" s="504" t="s">
        <v>163</v>
      </c>
      <c r="C6" s="155">
        <v>11281</v>
      </c>
      <c r="D6" s="155">
        <v>893</v>
      </c>
      <c r="E6" s="155">
        <v>1439</v>
      </c>
      <c r="F6" s="155">
        <v>658</v>
      </c>
      <c r="G6" s="155">
        <v>-1439</v>
      </c>
      <c r="H6" s="155">
        <v>0</v>
      </c>
      <c r="I6" s="155">
        <v>12832</v>
      </c>
    </row>
    <row r="7" spans="1:9">
      <c r="A7" s="505" t="s">
        <v>164</v>
      </c>
      <c r="C7" s="155">
        <v>-9590</v>
      </c>
      <c r="D7" s="155">
        <v>-696</v>
      </c>
      <c r="E7" s="155">
        <v>-750</v>
      </c>
      <c r="F7" s="122">
        <v>-4220</v>
      </c>
      <c r="G7" s="122">
        <v>750</v>
      </c>
      <c r="H7" s="122">
        <v>3724</v>
      </c>
      <c r="I7" s="155">
        <v>-10782</v>
      </c>
    </row>
    <row r="8" spans="1:9">
      <c r="A8" s="503" t="s">
        <v>165</v>
      </c>
      <c r="B8" s="154"/>
      <c r="C8" s="243">
        <v>2525</v>
      </c>
      <c r="D8" s="243">
        <v>1649</v>
      </c>
      <c r="E8" s="243">
        <v>359</v>
      </c>
      <c r="F8" s="453">
        <v>11</v>
      </c>
      <c r="G8" s="453">
        <v>-359</v>
      </c>
      <c r="H8" s="453">
        <v>-2135</v>
      </c>
      <c r="I8" s="243">
        <v>2050</v>
      </c>
    </row>
    <row r="9" spans="1:9" ht="9.75" customHeight="1">
      <c r="C9" s="156"/>
      <c r="D9" s="156"/>
      <c r="E9" s="156"/>
      <c r="F9" s="156"/>
      <c r="G9" s="156"/>
      <c r="H9" s="156"/>
      <c r="I9" s="156"/>
    </row>
    <row r="10" spans="1:9">
      <c r="A10" s="506" t="s">
        <v>166</v>
      </c>
      <c r="B10" s="157"/>
      <c r="C10" s="158"/>
      <c r="D10" s="158"/>
      <c r="E10" s="158"/>
      <c r="F10" s="158"/>
      <c r="G10" s="158"/>
      <c r="H10" s="158"/>
      <c r="I10" s="158"/>
    </row>
    <row r="11" spans="1:9" ht="15" customHeight="1">
      <c r="A11" s="507" t="s">
        <v>167</v>
      </c>
      <c r="C11" s="122">
        <v>-478</v>
      </c>
      <c r="D11" s="122">
        <v>-156</v>
      </c>
      <c r="E11" s="122">
        <v>-263</v>
      </c>
      <c r="F11" s="122">
        <v>-86</v>
      </c>
      <c r="G11" s="122">
        <v>263</v>
      </c>
      <c r="H11" s="122">
        <v>8</v>
      </c>
      <c r="I11" s="122">
        <v>-712</v>
      </c>
    </row>
    <row r="12" spans="1:9" ht="15.75" customHeight="1">
      <c r="A12" s="507" t="s">
        <v>433</v>
      </c>
      <c r="B12" s="159"/>
      <c r="C12" s="155">
        <v>86</v>
      </c>
      <c r="D12" s="155">
        <v>502</v>
      </c>
      <c r="E12" s="155">
        <v>0</v>
      </c>
      <c r="F12" s="155">
        <v>0</v>
      </c>
      <c r="G12" s="155">
        <v>0</v>
      </c>
      <c r="H12" s="155">
        <v>-86</v>
      </c>
      <c r="I12" s="155">
        <v>502</v>
      </c>
    </row>
    <row r="13" spans="1:9" ht="15" customHeight="1">
      <c r="A13" s="507" t="s">
        <v>434</v>
      </c>
      <c r="B13" s="159"/>
      <c r="C13" s="155">
        <v>0</v>
      </c>
      <c r="D13" s="155">
        <v>359</v>
      </c>
      <c r="E13" s="155">
        <v>0</v>
      </c>
      <c r="F13" s="155">
        <v>0</v>
      </c>
      <c r="G13" s="155">
        <v>0</v>
      </c>
      <c r="H13" s="155">
        <v>0</v>
      </c>
      <c r="I13" s="155">
        <v>359</v>
      </c>
    </row>
    <row r="14" spans="1:9" ht="16.5" hidden="1" customHeight="1">
      <c r="A14" s="146"/>
      <c r="B14" s="159"/>
      <c r="C14" s="155"/>
      <c r="D14" s="155"/>
      <c r="E14" s="155"/>
      <c r="F14" s="155"/>
      <c r="G14" s="155"/>
      <c r="H14" s="155"/>
      <c r="I14" s="155"/>
    </row>
    <row r="15" spans="1:9" ht="16.5" hidden="1" customHeight="1">
      <c r="A15" s="160"/>
      <c r="B15" s="159"/>
      <c r="C15" s="155"/>
      <c r="D15" s="155"/>
      <c r="E15" s="155"/>
      <c r="F15" s="155"/>
      <c r="G15" s="155"/>
      <c r="H15" s="155"/>
      <c r="I15" s="155"/>
    </row>
    <row r="16" spans="1:9" ht="17.25" hidden="1" customHeight="1">
      <c r="A16" s="160"/>
      <c r="B16" s="159"/>
      <c r="C16" s="155"/>
      <c r="D16" s="155"/>
      <c r="E16" s="155"/>
      <c r="F16" s="155"/>
      <c r="G16" s="155"/>
      <c r="H16" s="155"/>
      <c r="I16" s="155"/>
    </row>
    <row r="17" spans="1:10" ht="10.5" customHeight="1">
      <c r="C17" s="156"/>
      <c r="D17" s="156"/>
      <c r="E17" s="156"/>
      <c r="F17" s="156"/>
      <c r="G17" s="156"/>
      <c r="H17" s="156"/>
      <c r="I17" s="156"/>
    </row>
    <row r="18" spans="1:10">
      <c r="C18" s="147"/>
      <c r="D18" s="145"/>
      <c r="E18" s="145"/>
      <c r="F18" s="148" t="s">
        <v>149</v>
      </c>
      <c r="G18" s="145"/>
      <c r="H18" s="145"/>
      <c r="I18" s="145"/>
    </row>
    <row r="19" spans="1:10" ht="12" customHeight="1">
      <c r="A19" s="508" t="s">
        <v>168</v>
      </c>
      <c r="B19" s="154"/>
      <c r="C19" s="243">
        <v>59934</v>
      </c>
      <c r="D19" s="243">
        <v>18335</v>
      </c>
      <c r="E19" s="243">
        <v>13426</v>
      </c>
      <c r="F19" s="243">
        <v>7161</v>
      </c>
      <c r="G19" s="243">
        <v>-13426</v>
      </c>
      <c r="H19" s="243">
        <v>-19568</v>
      </c>
      <c r="I19" s="243">
        <v>65862</v>
      </c>
    </row>
    <row r="20" spans="1:10">
      <c r="A20" s="503" t="s">
        <v>169</v>
      </c>
      <c r="B20" s="154"/>
      <c r="C20" s="243">
        <v>21825</v>
      </c>
      <c r="D20" s="243">
        <v>17151</v>
      </c>
      <c r="E20" s="243">
        <v>11131</v>
      </c>
      <c r="F20" s="243">
        <v>3856</v>
      </c>
      <c r="G20" s="243">
        <v>-11131</v>
      </c>
      <c r="H20" s="243">
        <v>-16784</v>
      </c>
      <c r="I20" s="243">
        <v>26048</v>
      </c>
    </row>
    <row r="21" spans="1:10">
      <c r="A21" s="509" t="s">
        <v>170</v>
      </c>
      <c r="C21" s="155">
        <v>21825</v>
      </c>
      <c r="D21" s="155">
        <v>17151</v>
      </c>
      <c r="E21" s="155">
        <v>11131</v>
      </c>
      <c r="F21" s="155">
        <v>3856</v>
      </c>
      <c r="G21" s="155">
        <v>-11131</v>
      </c>
      <c r="H21" s="155">
        <v>-17137</v>
      </c>
      <c r="I21" s="155">
        <v>25695</v>
      </c>
    </row>
    <row r="22" spans="1:10">
      <c r="A22" s="504" t="s">
        <v>171</v>
      </c>
      <c r="C22" s="155">
        <v>0</v>
      </c>
      <c r="D22" s="155">
        <v>0</v>
      </c>
      <c r="E22" s="155">
        <v>0</v>
      </c>
      <c r="F22" s="122">
        <v>0</v>
      </c>
      <c r="G22" s="122">
        <v>0</v>
      </c>
      <c r="H22" s="122">
        <v>353</v>
      </c>
      <c r="I22" s="122">
        <v>353</v>
      </c>
    </row>
    <row r="23" spans="1:10">
      <c r="C23" s="161"/>
    </row>
    <row r="24" spans="1:10">
      <c r="A24" s="227" t="s">
        <v>172</v>
      </c>
      <c r="B24" s="154"/>
      <c r="C24" s="570" t="s">
        <v>147</v>
      </c>
      <c r="D24" s="570"/>
      <c r="E24" s="570"/>
      <c r="F24" s="570"/>
      <c r="G24" s="570"/>
      <c r="H24" s="570"/>
      <c r="I24" s="570"/>
    </row>
    <row r="25" spans="1:10" ht="15" customHeight="1">
      <c r="A25" s="510" t="s">
        <v>173</v>
      </c>
      <c r="B25" s="162"/>
      <c r="C25" s="122">
        <v>814</v>
      </c>
      <c r="D25" s="122">
        <v>241</v>
      </c>
      <c r="E25" s="122">
        <v>311</v>
      </c>
      <c r="F25" s="122">
        <v>127</v>
      </c>
      <c r="G25" s="122">
        <v>-311</v>
      </c>
      <c r="H25" s="122">
        <v>2</v>
      </c>
      <c r="I25" s="122">
        <v>1184</v>
      </c>
    </row>
    <row r="26" spans="1:10">
      <c r="A26" s="511" t="s">
        <v>174</v>
      </c>
      <c r="B26" s="163"/>
      <c r="C26" s="158"/>
      <c r="D26" s="158"/>
      <c r="E26" s="158"/>
      <c r="F26" s="158"/>
      <c r="G26" s="158"/>
      <c r="H26" s="158"/>
      <c r="I26" s="158"/>
    </row>
    <row r="27" spans="1:10">
      <c r="A27" s="504" t="s">
        <v>175</v>
      </c>
      <c r="C27" s="164">
        <v>146.19999999999999</v>
      </c>
      <c r="D27" s="164">
        <v>9.3000000000000007</v>
      </c>
      <c r="E27" s="164">
        <v>19.600000000000001</v>
      </c>
      <c r="F27" s="158"/>
      <c r="G27" s="158"/>
      <c r="H27" s="158"/>
      <c r="I27" s="158"/>
    </row>
    <row r="28" spans="1:10">
      <c r="A28" s="504" t="s">
        <v>176</v>
      </c>
      <c r="C28" s="164">
        <v>0</v>
      </c>
      <c r="D28" s="164">
        <v>0</v>
      </c>
      <c r="E28" s="452">
        <v>0.9</v>
      </c>
      <c r="F28" s="158"/>
      <c r="G28" s="158"/>
      <c r="H28" s="158"/>
      <c r="I28" s="158"/>
    </row>
    <row r="29" spans="1:10">
      <c r="A29" s="504" t="s">
        <v>177</v>
      </c>
      <c r="C29" s="164">
        <v>375.90000000000003</v>
      </c>
      <c r="D29" s="164">
        <v>0</v>
      </c>
      <c r="E29" s="164">
        <v>7.2</v>
      </c>
      <c r="F29" s="158"/>
      <c r="G29" s="158"/>
      <c r="H29" s="158"/>
      <c r="I29" s="158"/>
    </row>
    <row r="30" spans="1:10">
      <c r="A30" s="504" t="s">
        <v>178</v>
      </c>
      <c r="C30" s="452">
        <v>24.900000000000002</v>
      </c>
      <c r="D30" s="164">
        <v>7.1999999999999993</v>
      </c>
      <c r="E30" s="164">
        <v>4.8000000000000007</v>
      </c>
      <c r="F30" s="158"/>
      <c r="G30" s="158"/>
      <c r="H30" s="158"/>
      <c r="I30" s="158"/>
    </row>
    <row r="31" spans="1:10" ht="13.5" customHeight="1">
      <c r="A31" s="512" t="s">
        <v>179</v>
      </c>
      <c r="B31" s="165"/>
      <c r="C31" s="480">
        <v>2.94</v>
      </c>
      <c r="D31" s="480">
        <v>1.81</v>
      </c>
      <c r="E31" s="480">
        <v>0.72</v>
      </c>
      <c r="F31" s="13"/>
      <c r="G31" s="13"/>
      <c r="H31" s="13"/>
      <c r="I31" s="13"/>
    </row>
    <row r="32" spans="1:10">
      <c r="A32" s="503" t="s">
        <v>180</v>
      </c>
      <c r="B32" s="154"/>
      <c r="C32" s="244">
        <v>2322</v>
      </c>
      <c r="D32" s="244">
        <v>360</v>
      </c>
      <c r="E32" s="244">
        <v>952</v>
      </c>
      <c r="F32" s="454">
        <v>100</v>
      </c>
      <c r="G32" s="454">
        <v>0</v>
      </c>
      <c r="H32" s="454">
        <v>0</v>
      </c>
      <c r="I32" s="454">
        <v>3734</v>
      </c>
      <c r="J32" s="167"/>
    </row>
    <row r="33" spans="1:10">
      <c r="A33" s="503" t="s">
        <v>181</v>
      </c>
      <c r="B33" s="154"/>
      <c r="C33" s="245">
        <v>0.20307853769459508</v>
      </c>
      <c r="D33" s="245">
        <v>0.4</v>
      </c>
      <c r="E33" s="245">
        <v>0.66157053509381514</v>
      </c>
      <c r="F33" s="245">
        <v>2.3618327822390175E-2</v>
      </c>
      <c r="G33" s="244">
        <v>0</v>
      </c>
      <c r="H33" s="244">
        <v>0</v>
      </c>
      <c r="I33" s="245">
        <v>0.26152122145958817</v>
      </c>
    </row>
    <row r="35" spans="1:10" ht="12.75" customHeight="1">
      <c r="A35" s="571" t="s">
        <v>156</v>
      </c>
      <c r="B35" s="565"/>
      <c r="C35" s="565"/>
      <c r="D35" s="565"/>
      <c r="E35" s="565"/>
      <c r="F35" s="565"/>
      <c r="G35" s="565"/>
      <c r="H35" s="565"/>
      <c r="I35" s="565"/>
    </row>
    <row r="36" spans="1:10" ht="40.5" customHeight="1">
      <c r="A36" s="563" t="s">
        <v>157</v>
      </c>
      <c r="B36" s="567"/>
      <c r="C36" s="567"/>
      <c r="D36" s="567"/>
      <c r="E36" s="567"/>
      <c r="F36" s="567"/>
      <c r="G36" s="567"/>
      <c r="H36" s="567"/>
      <c r="I36" s="567"/>
      <c r="J36" s="362"/>
    </row>
    <row r="37" spans="1:10" s="167" customFormat="1" ht="24.75" customHeight="1">
      <c r="A37" s="563" t="s">
        <v>158</v>
      </c>
      <c r="B37" s="563"/>
      <c r="C37" s="563"/>
      <c r="D37" s="563"/>
      <c r="E37" s="563"/>
      <c r="F37" s="563"/>
      <c r="G37" s="563"/>
      <c r="H37" s="563"/>
      <c r="I37" s="563"/>
      <c r="J37" s="363"/>
    </row>
    <row r="38" spans="1:10" ht="12.75" customHeight="1">
      <c r="A38" s="565" t="s">
        <v>159</v>
      </c>
      <c r="B38" s="565"/>
      <c r="C38" s="565"/>
      <c r="D38" s="565"/>
      <c r="E38" s="565"/>
      <c r="F38" s="565"/>
      <c r="G38" s="565"/>
      <c r="H38" s="565"/>
      <c r="I38" s="565"/>
      <c r="J38" s="363"/>
    </row>
    <row r="41" spans="1:10" ht="15">
      <c r="A41" s="220"/>
      <c r="B41" s="220"/>
      <c r="C41" s="221"/>
      <c r="D41" s="221"/>
      <c r="E41" s="221"/>
      <c r="F41" s="221" t="s">
        <v>148</v>
      </c>
      <c r="G41" s="221"/>
      <c r="H41" s="221"/>
      <c r="I41" s="221"/>
    </row>
    <row r="42" spans="1:10" ht="33" customHeight="1">
      <c r="A42" s="222"/>
      <c r="B42" s="222"/>
      <c r="C42" s="564" t="s">
        <v>22</v>
      </c>
      <c r="D42" s="564" t="s">
        <v>23</v>
      </c>
      <c r="E42" s="564" t="s">
        <v>34</v>
      </c>
      <c r="F42" s="564" t="s">
        <v>151</v>
      </c>
      <c r="G42" s="566" t="s">
        <v>152</v>
      </c>
      <c r="H42" s="566"/>
      <c r="I42" s="564" t="s">
        <v>153</v>
      </c>
    </row>
    <row r="43" spans="1:10" ht="58.5" customHeight="1">
      <c r="A43" s="502" t="s">
        <v>182</v>
      </c>
      <c r="B43" s="223"/>
      <c r="C43" s="568"/>
      <c r="D43" s="568"/>
      <c r="E43" s="568"/>
      <c r="F43" s="564"/>
      <c r="G43" s="501" t="s">
        <v>154</v>
      </c>
      <c r="H43" s="501" t="s">
        <v>155</v>
      </c>
      <c r="I43" s="564"/>
      <c r="J43" s="152" t="s">
        <v>183</v>
      </c>
    </row>
    <row r="44" spans="1:10">
      <c r="A44" s="503" t="s">
        <v>161</v>
      </c>
      <c r="B44" s="224"/>
      <c r="C44" s="243">
        <v>7323</v>
      </c>
      <c r="D44" s="243">
        <v>817</v>
      </c>
      <c r="E44" s="243">
        <v>988</v>
      </c>
      <c r="F44" s="243">
        <v>3242</v>
      </c>
      <c r="G44" s="243">
        <v>-988</v>
      </c>
      <c r="H44" s="243">
        <v>-2768</v>
      </c>
      <c r="I44" s="243">
        <v>8614</v>
      </c>
    </row>
    <row r="45" spans="1:10">
      <c r="A45" s="504" t="s">
        <v>162</v>
      </c>
      <c r="B45" s="222"/>
      <c r="C45" s="155">
        <v>139</v>
      </c>
      <c r="D45" s="155">
        <v>3</v>
      </c>
      <c r="E45" s="155">
        <v>0</v>
      </c>
      <c r="F45" s="155">
        <v>2629</v>
      </c>
      <c r="G45" s="155">
        <v>0</v>
      </c>
      <c r="H45" s="155">
        <v>-2768</v>
      </c>
      <c r="I45" s="155">
        <v>3</v>
      </c>
    </row>
    <row r="46" spans="1:10">
      <c r="A46" s="504" t="s">
        <v>163</v>
      </c>
      <c r="B46" s="222"/>
      <c r="C46" s="155">
        <v>7184</v>
      </c>
      <c r="D46" s="155">
        <v>814</v>
      </c>
      <c r="E46" s="155">
        <v>988</v>
      </c>
      <c r="F46" s="155">
        <v>613</v>
      </c>
      <c r="G46" s="155">
        <v>-988</v>
      </c>
      <c r="H46" s="155">
        <v>0</v>
      </c>
      <c r="I46" s="155">
        <v>8611</v>
      </c>
    </row>
    <row r="47" spans="1:10">
      <c r="A47" s="505" t="s">
        <v>164</v>
      </c>
      <c r="C47" s="155">
        <v>-6590</v>
      </c>
      <c r="D47" s="155">
        <v>-562</v>
      </c>
      <c r="E47" s="155">
        <v>-570</v>
      </c>
      <c r="F47" s="155">
        <v>-3200</v>
      </c>
      <c r="G47" s="155">
        <v>570</v>
      </c>
      <c r="H47" s="155">
        <v>2711</v>
      </c>
      <c r="I47" s="155">
        <v>-7641</v>
      </c>
    </row>
    <row r="48" spans="1:10">
      <c r="A48" s="513" t="s">
        <v>165</v>
      </c>
      <c r="B48" s="224"/>
      <c r="C48" s="243">
        <v>-14</v>
      </c>
      <c r="D48" s="243">
        <v>408</v>
      </c>
      <c r="E48" s="243">
        <v>159</v>
      </c>
      <c r="F48" s="243">
        <v>30</v>
      </c>
      <c r="G48" s="243">
        <v>-159</v>
      </c>
      <c r="H48" s="243">
        <v>-174</v>
      </c>
      <c r="I48" s="243">
        <v>250</v>
      </c>
    </row>
    <row r="49" spans="1:11">
      <c r="A49" s="222"/>
      <c r="B49" s="222"/>
      <c r="C49" s="156"/>
      <c r="D49" s="156"/>
      <c r="E49" s="156"/>
      <c r="F49" s="156"/>
      <c r="G49" s="156"/>
      <c r="H49" s="156"/>
      <c r="I49" s="156"/>
    </row>
    <row r="50" spans="1:11">
      <c r="A50" s="506" t="s">
        <v>166</v>
      </c>
      <c r="B50" s="225"/>
      <c r="C50" s="158"/>
      <c r="D50" s="158"/>
      <c r="E50" s="158"/>
      <c r="F50" s="158"/>
      <c r="G50" s="158"/>
      <c r="H50" s="158"/>
      <c r="I50" s="158"/>
    </row>
    <row r="51" spans="1:11">
      <c r="A51" s="507" t="s">
        <v>167</v>
      </c>
      <c r="B51" s="222"/>
      <c r="C51" s="122">
        <v>-445</v>
      </c>
      <c r="D51" s="122">
        <v>-192</v>
      </c>
      <c r="E51" s="122">
        <v>-212</v>
      </c>
      <c r="F51" s="122">
        <v>-76</v>
      </c>
      <c r="G51" s="122">
        <v>212</v>
      </c>
      <c r="H51" s="122">
        <v>6</v>
      </c>
      <c r="I51" s="122">
        <v>-707</v>
      </c>
    </row>
    <row r="52" spans="1:11" s="159" customFormat="1" ht="15.75" customHeight="1">
      <c r="A52" s="507" t="s">
        <v>433</v>
      </c>
      <c r="B52" s="226"/>
      <c r="C52" s="155">
        <v>-26</v>
      </c>
      <c r="D52" s="155">
        <v>146</v>
      </c>
      <c r="E52" s="155">
        <v>0</v>
      </c>
      <c r="F52" s="155">
        <v>0</v>
      </c>
      <c r="G52" s="155">
        <v>0</v>
      </c>
      <c r="H52" s="155">
        <v>5</v>
      </c>
      <c r="I52" s="155">
        <v>125</v>
      </c>
      <c r="K52" s="167"/>
    </row>
    <row r="53" spans="1:11" s="159" customFormat="1" ht="11.25" hidden="1" customHeight="1">
      <c r="A53" s="146"/>
      <c r="C53" s="155"/>
      <c r="D53" s="155"/>
      <c r="E53" s="155"/>
      <c r="F53" s="155"/>
      <c r="G53" s="155"/>
      <c r="H53" s="155"/>
      <c r="I53" s="155"/>
    </row>
    <row r="54" spans="1:11" s="159" customFormat="1" ht="14.25" hidden="1" customHeight="1">
      <c r="A54" s="146"/>
      <c r="C54" s="155"/>
      <c r="D54" s="155"/>
      <c r="E54" s="155"/>
      <c r="F54" s="155"/>
      <c r="G54" s="155"/>
      <c r="H54" s="155"/>
      <c r="I54" s="155"/>
    </row>
    <row r="55" spans="1:11" ht="12" customHeight="1">
      <c r="C55" s="156"/>
      <c r="D55" s="156"/>
      <c r="E55" s="156"/>
      <c r="F55" s="156"/>
      <c r="G55" s="156"/>
      <c r="H55" s="156"/>
      <c r="I55" s="156"/>
    </row>
    <row r="56" spans="1:11">
      <c r="C56" s="147"/>
      <c r="D56" s="145"/>
      <c r="E56" s="145"/>
      <c r="F56" s="148" t="s">
        <v>150</v>
      </c>
      <c r="G56" s="145"/>
      <c r="H56" s="145"/>
      <c r="I56" s="145"/>
    </row>
    <row r="57" spans="1:11">
      <c r="A57" s="514" t="s">
        <v>168</v>
      </c>
      <c r="B57" s="154"/>
      <c r="C57" s="243">
        <v>53560</v>
      </c>
      <c r="D57" s="243">
        <v>16614</v>
      </c>
      <c r="E57" s="243">
        <v>12959</v>
      </c>
      <c r="F57" s="243">
        <v>6923</v>
      </c>
      <c r="G57" s="243">
        <v>-12959</v>
      </c>
      <c r="H57" s="243">
        <v>-18857</v>
      </c>
      <c r="I57" s="243">
        <v>58240</v>
      </c>
    </row>
    <row r="58" spans="1:11" ht="15" hidden="1" customHeight="1">
      <c r="A58" s="515" t="s">
        <v>184</v>
      </c>
      <c r="C58" s="360"/>
      <c r="D58" s="360"/>
      <c r="E58" s="360"/>
      <c r="F58" s="360"/>
      <c r="G58" s="360"/>
      <c r="H58" s="360"/>
      <c r="I58" s="360"/>
    </row>
    <row r="59" spans="1:11" ht="12.75" hidden="1" customHeight="1">
      <c r="A59" s="515" t="s">
        <v>185</v>
      </c>
      <c r="C59" s="361"/>
      <c r="D59" s="361"/>
      <c r="E59" s="361"/>
      <c r="F59" s="361"/>
      <c r="G59" s="361"/>
      <c r="H59" s="361"/>
      <c r="I59" s="361"/>
    </row>
    <row r="60" spans="1:11">
      <c r="A60" s="503" t="s">
        <v>169</v>
      </c>
      <c r="B60" s="154"/>
      <c r="C60" s="243">
        <v>22046</v>
      </c>
      <c r="D60" s="243">
        <v>17544</v>
      </c>
      <c r="E60" s="243">
        <v>11334</v>
      </c>
      <c r="F60" s="243">
        <v>3649</v>
      </c>
      <c r="G60" s="243">
        <v>-11334</v>
      </c>
      <c r="H60" s="243">
        <v>-17897</v>
      </c>
      <c r="I60" s="243">
        <v>25342</v>
      </c>
    </row>
    <row r="61" spans="1:11">
      <c r="A61" s="504" t="s">
        <v>170</v>
      </c>
      <c r="C61" s="155">
        <v>22046</v>
      </c>
      <c r="D61" s="155">
        <v>17544</v>
      </c>
      <c r="E61" s="155">
        <v>11334</v>
      </c>
      <c r="F61" s="122">
        <v>3649</v>
      </c>
      <c r="G61" s="155">
        <v>-11334</v>
      </c>
      <c r="H61" s="155">
        <v>-18155</v>
      </c>
      <c r="I61" s="122">
        <v>25084</v>
      </c>
    </row>
    <row r="62" spans="1:11">
      <c r="A62" s="504" t="s">
        <v>171</v>
      </c>
      <c r="C62" s="155">
        <v>0</v>
      </c>
      <c r="D62" s="155">
        <v>0</v>
      </c>
      <c r="E62" s="155">
        <v>0</v>
      </c>
      <c r="F62" s="122">
        <v>0</v>
      </c>
      <c r="G62" s="155">
        <v>0</v>
      </c>
      <c r="H62" s="155">
        <v>258</v>
      </c>
      <c r="I62" s="122">
        <v>258</v>
      </c>
    </row>
    <row r="63" spans="1:11">
      <c r="C63" s="161"/>
    </row>
    <row r="64" spans="1:11">
      <c r="A64" s="503" t="s">
        <v>172</v>
      </c>
      <c r="B64" s="224"/>
      <c r="C64" s="228"/>
      <c r="D64" s="221"/>
      <c r="E64" s="221"/>
      <c r="F64" s="221" t="s">
        <v>148</v>
      </c>
      <c r="G64" s="221"/>
      <c r="H64" s="221"/>
      <c r="I64" s="221"/>
    </row>
    <row r="65" spans="1:10">
      <c r="A65" s="516" t="s">
        <v>173</v>
      </c>
      <c r="B65" s="229"/>
      <c r="C65" s="122">
        <v>727</v>
      </c>
      <c r="D65" s="122">
        <v>178</v>
      </c>
      <c r="E65" s="122">
        <v>246</v>
      </c>
      <c r="F65" s="122">
        <v>125</v>
      </c>
      <c r="G65" s="122">
        <v>-246</v>
      </c>
      <c r="H65" s="122">
        <v>-75</v>
      </c>
      <c r="I65" s="122">
        <v>955</v>
      </c>
    </row>
    <row r="66" spans="1:10">
      <c r="A66" s="511" t="s">
        <v>174</v>
      </c>
      <c r="B66" s="230"/>
      <c r="C66" s="158"/>
      <c r="D66" s="158"/>
      <c r="E66" s="158"/>
      <c r="F66" s="158"/>
      <c r="G66" s="158"/>
      <c r="H66" s="158"/>
      <c r="I66" s="158"/>
    </row>
    <row r="67" spans="1:10">
      <c r="A67" s="504" t="s">
        <v>175</v>
      </c>
      <c r="B67" s="222"/>
      <c r="C67" s="164">
        <v>138.39999999999998</v>
      </c>
      <c r="D67" s="164">
        <v>14.799999999999999</v>
      </c>
      <c r="E67" s="164">
        <v>21.599999999999998</v>
      </c>
      <c r="F67" s="158"/>
      <c r="G67" s="158"/>
      <c r="H67" s="158"/>
      <c r="I67" s="158"/>
    </row>
    <row r="68" spans="1:10">
      <c r="A68" s="504" t="s">
        <v>176</v>
      </c>
      <c r="B68" s="222"/>
      <c r="C68" s="164">
        <v>0</v>
      </c>
      <c r="D68" s="164">
        <v>0</v>
      </c>
      <c r="E68" s="164">
        <v>1.2</v>
      </c>
      <c r="F68" s="158"/>
      <c r="G68" s="158"/>
      <c r="H68" s="158"/>
      <c r="I68" s="158"/>
    </row>
    <row r="69" spans="1:10">
      <c r="A69" s="504" t="s">
        <v>177</v>
      </c>
      <c r="B69" s="222"/>
      <c r="C69" s="164">
        <v>330.69999999999993</v>
      </c>
      <c r="D69" s="164">
        <v>0</v>
      </c>
      <c r="E69" s="164">
        <v>5.8000000000000007</v>
      </c>
      <c r="F69" s="158"/>
      <c r="G69" s="158"/>
      <c r="H69" s="158"/>
      <c r="I69" s="158"/>
    </row>
    <row r="70" spans="1:10">
      <c r="A70" s="504" t="s">
        <v>178</v>
      </c>
      <c r="B70" s="222"/>
      <c r="C70" s="164">
        <v>22.200000000000003</v>
      </c>
      <c r="D70" s="164">
        <v>12.100000000000001</v>
      </c>
      <c r="E70" s="164">
        <v>7.6999999999999993</v>
      </c>
      <c r="F70" s="158"/>
      <c r="G70" s="158"/>
      <c r="H70" s="158"/>
      <c r="I70" s="158"/>
    </row>
    <row r="71" spans="1:10">
      <c r="A71" s="512" t="s">
        <v>186</v>
      </c>
      <c r="B71" s="231"/>
      <c r="C71" s="450">
        <v>3.16</v>
      </c>
      <c r="D71" s="450">
        <v>0.93</v>
      </c>
      <c r="E71" s="166">
        <v>1.07</v>
      </c>
      <c r="F71" s="13"/>
      <c r="G71" s="13"/>
      <c r="H71" s="13"/>
      <c r="I71" s="13"/>
      <c r="J71" s="167"/>
    </row>
    <row r="72" spans="1:10">
      <c r="A72" s="503" t="s">
        <v>180</v>
      </c>
      <c r="B72" s="224"/>
      <c r="C72" s="244">
        <v>1178</v>
      </c>
      <c r="D72" s="244">
        <v>448</v>
      </c>
      <c r="E72" s="244">
        <v>630</v>
      </c>
      <c r="F72" s="244">
        <v>118</v>
      </c>
      <c r="G72" s="244">
        <v>0</v>
      </c>
      <c r="H72" s="244">
        <v>0</v>
      </c>
      <c r="I72" s="244">
        <v>2374</v>
      </c>
    </row>
    <row r="73" spans="1:10">
      <c r="A73" s="503" t="s">
        <v>181</v>
      </c>
      <c r="B73" s="154"/>
      <c r="C73" s="245">
        <v>0.16086303427557011</v>
      </c>
      <c r="D73" s="448">
        <v>0.5483476132190942</v>
      </c>
      <c r="E73" s="245">
        <v>0.63765182186234814</v>
      </c>
      <c r="F73" s="245">
        <v>3.639728562615669E-2</v>
      </c>
      <c r="G73" s="244"/>
      <c r="H73" s="244"/>
      <c r="I73" s="245">
        <v>0.24724015830035409</v>
      </c>
    </row>
    <row r="75" spans="1:10" ht="12.75" customHeight="1">
      <c r="A75" s="563" t="s">
        <v>156</v>
      </c>
      <c r="B75" s="563"/>
      <c r="C75" s="563"/>
      <c r="D75" s="563"/>
      <c r="E75" s="563"/>
      <c r="F75" s="563"/>
      <c r="G75" s="563"/>
      <c r="H75" s="563"/>
      <c r="I75" s="563"/>
    </row>
    <row r="76" spans="1:10" ht="36.75" customHeight="1">
      <c r="A76" s="563" t="s">
        <v>187</v>
      </c>
      <c r="B76" s="563"/>
      <c r="C76" s="563"/>
      <c r="D76" s="563"/>
      <c r="E76" s="563"/>
      <c r="F76" s="563"/>
      <c r="G76" s="563"/>
      <c r="H76" s="563"/>
      <c r="I76" s="563"/>
      <c r="J76" s="363"/>
    </row>
    <row r="77" spans="1:10" ht="25.5" customHeight="1">
      <c r="A77" s="563" t="s">
        <v>188</v>
      </c>
      <c r="B77" s="563"/>
      <c r="C77" s="563"/>
      <c r="D77" s="563"/>
      <c r="E77" s="563"/>
      <c r="F77" s="563"/>
      <c r="G77" s="563"/>
      <c r="H77" s="563"/>
      <c r="I77" s="563"/>
      <c r="J77" s="363"/>
    </row>
    <row r="78" spans="1:10">
      <c r="A78" s="563" t="s">
        <v>159</v>
      </c>
      <c r="B78" s="563"/>
      <c r="C78" s="563"/>
      <c r="D78" s="563"/>
      <c r="E78" s="563"/>
      <c r="F78" s="563"/>
      <c r="G78" s="563"/>
      <c r="H78" s="563"/>
      <c r="I78" s="563"/>
    </row>
    <row r="80" spans="1:10">
      <c r="C80" s="449"/>
      <c r="D80" s="449"/>
      <c r="E80" s="449"/>
      <c r="F80" s="449"/>
    </row>
  </sheetData>
  <mergeCells count="21">
    <mergeCell ref="A36:I36"/>
    <mergeCell ref="E42:E43"/>
    <mergeCell ref="E2:E3"/>
    <mergeCell ref="D2:D3"/>
    <mergeCell ref="G2:H2"/>
    <mergeCell ref="C42:C43"/>
    <mergeCell ref="C24:I24"/>
    <mergeCell ref="A35:I35"/>
    <mergeCell ref="I2:I3"/>
    <mergeCell ref="C2:C3"/>
    <mergeCell ref="F2:F3"/>
    <mergeCell ref="D42:D43"/>
    <mergeCell ref="A78:I78"/>
    <mergeCell ref="A75:I75"/>
    <mergeCell ref="A37:I37"/>
    <mergeCell ref="F42:F43"/>
    <mergeCell ref="A38:I38"/>
    <mergeCell ref="G42:H42"/>
    <mergeCell ref="A77:I77"/>
    <mergeCell ref="A76:I76"/>
    <mergeCell ref="I42:I43"/>
  </mergeCells>
  <pageMargins left="0.7" right="0.7" top="0.75" bottom="0.75" header="0.3" footer="0.3"/>
  <pageSetup paperSize="8"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CA2D-F6AB-4A3B-991C-B640B358B95A}">
  <sheetPr>
    <pageSetUpPr fitToPage="1"/>
  </sheetPr>
  <dimension ref="A1:IP43"/>
  <sheetViews>
    <sheetView showGridLines="0" zoomScale="142" zoomScaleNormal="142" workbookViewId="0">
      <pane xSplit="2" ySplit="2" topLeftCell="BO3" activePane="bottomRight" state="frozen"/>
      <selection pane="topRight" activeCell="C1" sqref="C1"/>
      <selection pane="bottomLeft" activeCell="A3" sqref="A3"/>
      <selection pane="bottomRight" activeCell="BS15" sqref="BS15"/>
    </sheetView>
  </sheetViews>
  <sheetFormatPr defaultColWidth="55.42578125" defaultRowHeight="15"/>
  <cols>
    <col min="1" max="1" width="57.7109375" style="15" customWidth="1"/>
    <col min="2" max="2" width="0.140625" style="15" customWidth="1"/>
    <col min="3" max="3" width="8.5703125" style="18" customWidth="1"/>
    <col min="4" max="4" width="0.5703125" style="15" customWidth="1"/>
    <col min="5" max="8" width="7.5703125" style="15" customWidth="1"/>
    <col min="9" max="9" width="7.5703125" style="18" customWidth="1"/>
    <col min="10" max="10" width="0.5703125" style="15" customWidth="1"/>
    <col min="11" max="14" width="8.5703125" style="15" customWidth="1"/>
    <col min="15" max="15" width="8.5703125" style="18" customWidth="1"/>
    <col min="16" max="16" width="0.5703125" style="15" customWidth="1"/>
    <col min="17" max="20" width="7.5703125" style="15" customWidth="1"/>
    <col min="21" max="21" width="7.5703125" style="18" customWidth="1"/>
    <col min="22" max="22" width="0.5703125" style="15" customWidth="1"/>
    <col min="23" max="26" width="8.42578125" style="15" customWidth="1"/>
    <col min="27" max="27" width="8.42578125" style="18" customWidth="1"/>
    <col min="28" max="28" width="0.5703125" style="15" customWidth="1"/>
    <col min="29" max="29" width="7.5703125" style="15" customWidth="1"/>
    <col min="30" max="31" width="7.5703125" style="19" customWidth="1"/>
    <col min="32" max="32" width="8.42578125" style="15" customWidth="1"/>
    <col min="33" max="33" width="8.42578125" style="18" customWidth="1"/>
    <col min="34" max="34" width="0.5703125" style="15" customWidth="1"/>
    <col min="35" max="35" width="8.5703125" style="19" customWidth="1"/>
    <col min="36" max="36" width="8.5703125" style="54" customWidth="1"/>
    <col min="37" max="37" width="9.42578125" style="15" customWidth="1"/>
    <col min="38" max="38" width="8.42578125" style="15" customWidth="1"/>
    <col min="39" max="39" width="8.42578125" style="18" customWidth="1"/>
    <col min="40" max="40" width="0.5703125" style="15" customWidth="1"/>
    <col min="41" max="42" width="8.140625" style="15" customWidth="1"/>
    <col min="43" max="45" width="8.42578125" style="18" customWidth="1"/>
    <col min="46" max="46" width="0.5703125" style="15" customWidth="1"/>
    <col min="47" max="51" width="8.42578125" style="18" customWidth="1"/>
    <col min="52" max="52" width="0.5703125" style="15" customWidth="1"/>
    <col min="53" max="69" width="8.42578125" style="18" customWidth="1"/>
    <col min="70" max="249" width="9.42578125" style="15" customWidth="1"/>
    <col min="250" max="16384" width="55.42578125" style="15"/>
  </cols>
  <sheetData>
    <row r="1" spans="1:69" ht="30">
      <c r="A1" s="55" t="s">
        <v>189</v>
      </c>
      <c r="B1" s="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row>
    <row r="2" spans="1:69" ht="15" customHeight="1">
      <c r="A2" s="168"/>
      <c r="B2" s="168"/>
      <c r="C2" s="215">
        <v>2014</v>
      </c>
      <c r="D2"/>
      <c r="E2" s="172" t="s">
        <v>4</v>
      </c>
      <c r="F2" s="172" t="s">
        <v>5</v>
      </c>
      <c r="G2" s="172" t="s">
        <v>6</v>
      </c>
      <c r="H2" s="172" t="s">
        <v>7</v>
      </c>
      <c r="I2" s="172" t="s">
        <v>18</v>
      </c>
      <c r="J2"/>
      <c r="K2" s="172" t="s">
        <v>8</v>
      </c>
      <c r="L2" s="172" t="s">
        <v>9</v>
      </c>
      <c r="M2" s="172" t="s">
        <v>10</v>
      </c>
      <c r="N2" s="172" t="s">
        <v>11</v>
      </c>
      <c r="O2" s="172" t="s">
        <v>19</v>
      </c>
      <c r="P2"/>
      <c r="Q2" s="172" t="s">
        <v>16</v>
      </c>
      <c r="R2" s="172" t="s">
        <v>17</v>
      </c>
      <c r="S2" s="172" t="s">
        <v>20</v>
      </c>
      <c r="T2" s="172" t="s">
        <v>21</v>
      </c>
      <c r="U2" s="172">
        <v>2017</v>
      </c>
      <c r="V2"/>
      <c r="W2" s="172" t="s">
        <v>27</v>
      </c>
      <c r="X2" s="172" t="s">
        <v>29</v>
      </c>
      <c r="Y2" s="172" t="s">
        <v>30</v>
      </c>
      <c r="Z2" s="172" t="s">
        <v>33</v>
      </c>
      <c r="AA2" s="172">
        <v>2018</v>
      </c>
      <c r="AB2"/>
      <c r="AC2" s="172" t="s">
        <v>35</v>
      </c>
      <c r="AD2" s="172" t="s">
        <v>36</v>
      </c>
      <c r="AE2" s="172" t="s">
        <v>39</v>
      </c>
      <c r="AF2" s="172" t="s">
        <v>40</v>
      </c>
      <c r="AG2" s="172">
        <v>2019</v>
      </c>
      <c r="AH2"/>
      <c r="AI2" s="172" t="s">
        <v>41</v>
      </c>
      <c r="AJ2" s="198" t="s">
        <v>42</v>
      </c>
      <c r="AK2" s="198" t="s">
        <v>43</v>
      </c>
      <c r="AL2" s="172" t="s">
        <v>44</v>
      </c>
      <c r="AM2" s="172">
        <v>2020</v>
      </c>
      <c r="AN2"/>
      <c r="AO2" s="216" t="s">
        <v>47</v>
      </c>
      <c r="AP2" s="216" t="s">
        <v>48</v>
      </c>
      <c r="AQ2" s="172" t="s">
        <v>49</v>
      </c>
      <c r="AR2" s="172" t="s">
        <v>50</v>
      </c>
      <c r="AS2" s="172">
        <v>2021</v>
      </c>
      <c r="AT2"/>
      <c r="AU2" s="172" t="s">
        <v>51</v>
      </c>
      <c r="AV2" s="172" t="s">
        <v>52</v>
      </c>
      <c r="AW2" s="172" t="s">
        <v>53</v>
      </c>
      <c r="AX2" s="172" t="s">
        <v>54</v>
      </c>
      <c r="AY2" s="172">
        <v>2022</v>
      </c>
      <c r="AZ2"/>
      <c r="BA2" s="172" t="s">
        <v>55</v>
      </c>
      <c r="BB2" s="172" t="s">
        <v>56</v>
      </c>
      <c r="BC2" s="172" t="s">
        <v>57</v>
      </c>
      <c r="BD2" s="172" t="s">
        <v>61</v>
      </c>
      <c r="BE2" s="172">
        <v>2023</v>
      </c>
      <c r="BF2" s="172" t="s">
        <v>64</v>
      </c>
      <c r="BG2" s="172" t="s">
        <v>68</v>
      </c>
      <c r="BH2" s="172" t="s">
        <v>70</v>
      </c>
      <c r="BI2" s="172" t="s">
        <v>72</v>
      </c>
      <c r="BJ2" s="172">
        <v>2024</v>
      </c>
      <c r="BK2" s="172" t="s">
        <v>76</v>
      </c>
      <c r="BL2" s="172" t="s">
        <v>79</v>
      </c>
      <c r="BM2" s="172" t="s">
        <v>81</v>
      </c>
      <c r="BN2" s="172" t="s">
        <v>83</v>
      </c>
      <c r="BO2" s="172">
        <v>2025</v>
      </c>
      <c r="BP2" s="172" t="s">
        <v>86</v>
      </c>
      <c r="BQ2" s="172" t="s">
        <v>88</v>
      </c>
    </row>
    <row r="3" spans="1:69" s="193" customFormat="1" ht="15" customHeight="1">
      <c r="A3" s="517" t="s">
        <v>121</v>
      </c>
      <c r="B3" s="4"/>
      <c r="C3" s="177">
        <v>3098</v>
      </c>
      <c r="E3" s="180">
        <v>577</v>
      </c>
      <c r="F3" s="176">
        <v>1116</v>
      </c>
      <c r="G3" s="176">
        <v>147</v>
      </c>
      <c r="H3" s="176">
        <v>-6962</v>
      </c>
      <c r="I3" s="176">
        <v>-5122</v>
      </c>
      <c r="K3" s="180">
        <v>343</v>
      </c>
      <c r="L3" s="176">
        <v>340</v>
      </c>
      <c r="M3" s="176">
        <v>531</v>
      </c>
      <c r="N3" s="176">
        <v>-5015</v>
      </c>
      <c r="O3" s="176">
        <v>-3801</v>
      </c>
      <c r="Q3" s="180">
        <v>1031</v>
      </c>
      <c r="R3" s="176">
        <v>618</v>
      </c>
      <c r="S3" s="176">
        <v>787</v>
      </c>
      <c r="T3" s="176">
        <v>-137</v>
      </c>
      <c r="U3" s="176">
        <v>2299</v>
      </c>
      <c r="W3" s="180">
        <v>661</v>
      </c>
      <c r="X3" s="176">
        <v>323</v>
      </c>
      <c r="Y3" s="176">
        <v>608</v>
      </c>
      <c r="Z3" s="176">
        <v>874</v>
      </c>
      <c r="AA3" s="176">
        <v>2466</v>
      </c>
      <c r="AC3" s="177">
        <v>838</v>
      </c>
      <c r="AD3" s="217">
        <v>614</v>
      </c>
      <c r="AE3" s="217">
        <v>972</v>
      </c>
      <c r="AF3" s="176">
        <v>-302</v>
      </c>
      <c r="AG3" s="176">
        <v>2122</v>
      </c>
      <c r="AI3" s="177">
        <v>929</v>
      </c>
      <c r="AJ3" s="217">
        <v>178</v>
      </c>
      <c r="AK3" s="217">
        <v>772</v>
      </c>
      <c r="AL3" s="176">
        <v>877</v>
      </c>
      <c r="AM3" s="176">
        <v>2756</v>
      </c>
      <c r="AO3" s="206">
        <v>1862</v>
      </c>
      <c r="AP3" s="217">
        <v>2767</v>
      </c>
      <c r="AQ3" s="176">
        <v>1476</v>
      </c>
      <c r="AR3" s="176">
        <v>1719</v>
      </c>
      <c r="AS3" s="176">
        <v>7824</v>
      </c>
      <c r="AT3" s="239"/>
      <c r="AU3" s="176">
        <v>2508</v>
      </c>
      <c r="AV3" s="176">
        <v>2806</v>
      </c>
      <c r="AW3" s="176">
        <v>1551</v>
      </c>
      <c r="AX3" s="176">
        <v>-376</v>
      </c>
      <c r="AY3" s="176">
        <v>6489</v>
      </c>
      <c r="AZ3" s="239"/>
      <c r="BA3" s="176">
        <v>513</v>
      </c>
      <c r="BB3" s="176">
        <v>390</v>
      </c>
      <c r="BC3" s="176">
        <v>789</v>
      </c>
      <c r="BD3" s="176">
        <v>-5292</v>
      </c>
      <c r="BE3" s="176">
        <v>-3600</v>
      </c>
      <c r="BF3" s="176">
        <v>703</v>
      </c>
      <c r="BG3" s="176">
        <v>1246</v>
      </c>
      <c r="BH3" s="176">
        <v>439</v>
      </c>
      <c r="BI3" s="176">
        <v>2220</v>
      </c>
      <c r="BJ3" s="176">
        <v>4608</v>
      </c>
      <c r="BK3" s="176">
        <v>734</v>
      </c>
      <c r="BL3" s="176">
        <v>581</v>
      </c>
      <c r="BM3" s="176">
        <v>924</v>
      </c>
      <c r="BN3" s="176">
        <v>3170</v>
      </c>
      <c r="BO3" s="176">
        <v>5409</v>
      </c>
      <c r="BP3" s="176">
        <v>4762</v>
      </c>
      <c r="BQ3" s="345">
        <v>3146</v>
      </c>
    </row>
    <row r="4" spans="1:69" ht="12" customHeight="1">
      <c r="A4" s="518" t="s">
        <v>124</v>
      </c>
      <c r="B4" s="2"/>
      <c r="C4" s="177">
        <v>1635</v>
      </c>
      <c r="D4"/>
      <c r="E4" s="177">
        <v>564</v>
      </c>
      <c r="F4" s="174">
        <v>380</v>
      </c>
      <c r="G4" s="174">
        <v>530</v>
      </c>
      <c r="H4" s="174">
        <v>469</v>
      </c>
      <c r="I4" s="174">
        <v>1943</v>
      </c>
      <c r="J4"/>
      <c r="K4" s="177">
        <v>397</v>
      </c>
      <c r="L4" s="174">
        <v>413</v>
      </c>
      <c r="M4" s="174">
        <v>431</v>
      </c>
      <c r="N4" s="174">
        <v>457</v>
      </c>
      <c r="O4" s="174">
        <v>1698</v>
      </c>
      <c r="P4"/>
      <c r="Q4" s="177">
        <v>371</v>
      </c>
      <c r="R4" s="174">
        <v>401</v>
      </c>
      <c r="S4" s="174">
        <v>383</v>
      </c>
      <c r="T4" s="174">
        <v>454</v>
      </c>
      <c r="U4" s="174">
        <v>1609</v>
      </c>
      <c r="V4"/>
      <c r="W4" s="177">
        <v>350</v>
      </c>
      <c r="X4" s="174">
        <v>514</v>
      </c>
      <c r="Y4" s="174">
        <v>452</v>
      </c>
      <c r="Z4" s="174">
        <v>480</v>
      </c>
      <c r="AA4" s="174">
        <v>1796</v>
      </c>
      <c r="AB4"/>
      <c r="AC4" s="177">
        <v>453</v>
      </c>
      <c r="AD4" s="217">
        <v>468</v>
      </c>
      <c r="AE4" s="217">
        <v>437</v>
      </c>
      <c r="AF4" s="174">
        <v>562</v>
      </c>
      <c r="AG4" s="174">
        <v>1920</v>
      </c>
      <c r="AH4"/>
      <c r="AI4" s="177">
        <v>483</v>
      </c>
      <c r="AJ4" s="217">
        <v>470</v>
      </c>
      <c r="AK4" s="217">
        <v>438</v>
      </c>
      <c r="AL4" s="174">
        <v>572</v>
      </c>
      <c r="AM4" s="174">
        <v>1963</v>
      </c>
      <c r="AN4"/>
      <c r="AO4" s="206">
        <v>495</v>
      </c>
      <c r="AP4" s="217">
        <v>525</v>
      </c>
      <c r="AQ4" s="174">
        <v>578</v>
      </c>
      <c r="AR4" s="174">
        <v>525</v>
      </c>
      <c r="AS4" s="174">
        <v>2123</v>
      </c>
      <c r="AT4" s="240"/>
      <c r="AU4" s="174">
        <v>493</v>
      </c>
      <c r="AV4" s="174">
        <v>551</v>
      </c>
      <c r="AW4" s="174">
        <v>561</v>
      </c>
      <c r="AX4" s="174">
        <v>634</v>
      </c>
      <c r="AY4" s="174">
        <v>2239</v>
      </c>
      <c r="AZ4" s="240"/>
      <c r="BA4" s="174">
        <v>431</v>
      </c>
      <c r="BB4" s="174">
        <v>489</v>
      </c>
      <c r="BC4" s="174">
        <v>771</v>
      </c>
      <c r="BD4" s="174">
        <v>620</v>
      </c>
      <c r="BE4" s="174">
        <v>2311</v>
      </c>
      <c r="BF4" s="174">
        <v>356</v>
      </c>
      <c r="BG4" s="174">
        <v>466</v>
      </c>
      <c r="BH4" s="174">
        <v>591</v>
      </c>
      <c r="BI4" s="174">
        <v>593</v>
      </c>
      <c r="BJ4" s="174">
        <v>2006</v>
      </c>
      <c r="BK4" s="174">
        <v>458</v>
      </c>
      <c r="BL4" s="174">
        <v>556</v>
      </c>
      <c r="BM4" s="174">
        <v>684</v>
      </c>
      <c r="BN4" s="174">
        <v>668</v>
      </c>
      <c r="BO4" s="174">
        <v>2366</v>
      </c>
      <c r="BP4" s="174">
        <v>488</v>
      </c>
      <c r="BQ4" s="340">
        <v>545</v>
      </c>
    </row>
    <row r="5" spans="1:69" ht="15" customHeight="1">
      <c r="A5" s="283" t="s">
        <v>190</v>
      </c>
      <c r="B5" s="2"/>
      <c r="C5" s="177">
        <v>252</v>
      </c>
      <c r="D5"/>
      <c r="E5" s="177">
        <v>0</v>
      </c>
      <c r="F5" s="174">
        <v>1</v>
      </c>
      <c r="G5" s="174">
        <v>312</v>
      </c>
      <c r="H5" s="174">
        <v>4144</v>
      </c>
      <c r="I5" s="174">
        <v>4457</v>
      </c>
      <c r="J5"/>
      <c r="K5" s="177">
        <v>221</v>
      </c>
      <c r="L5" s="174">
        <v>255</v>
      </c>
      <c r="M5" s="174">
        <v>351</v>
      </c>
      <c r="N5" s="174">
        <v>373</v>
      </c>
      <c r="O5" s="174">
        <v>1200</v>
      </c>
      <c r="P5"/>
      <c r="Q5" s="177">
        <v>0</v>
      </c>
      <c r="R5" s="174">
        <v>215</v>
      </c>
      <c r="S5" s="174">
        <v>0</v>
      </c>
      <c r="T5" s="174">
        <v>259</v>
      </c>
      <c r="U5" s="174">
        <v>474</v>
      </c>
      <c r="V5"/>
      <c r="W5" s="177">
        <v>0</v>
      </c>
      <c r="X5" s="174">
        <v>254</v>
      </c>
      <c r="Y5" s="174">
        <v>4</v>
      </c>
      <c r="Z5" s="174">
        <v>404</v>
      </c>
      <c r="AA5" s="174">
        <v>662</v>
      </c>
      <c r="AB5"/>
      <c r="AC5" s="177">
        <v>0</v>
      </c>
      <c r="AD5" s="217">
        <v>63</v>
      </c>
      <c r="AE5" s="217">
        <v>106</v>
      </c>
      <c r="AF5" s="174">
        <v>269</v>
      </c>
      <c r="AG5" s="174">
        <v>438</v>
      </c>
      <c r="AH5"/>
      <c r="AI5" s="177">
        <v>0</v>
      </c>
      <c r="AJ5" s="217">
        <v>210</v>
      </c>
      <c r="AK5" s="217">
        <v>-4</v>
      </c>
      <c r="AL5" s="174">
        <v>-2</v>
      </c>
      <c r="AM5" s="174">
        <v>204</v>
      </c>
      <c r="AN5"/>
      <c r="AO5" s="206">
        <v>0</v>
      </c>
      <c r="AP5" s="217">
        <v>0</v>
      </c>
      <c r="AQ5" s="174">
        <v>0</v>
      </c>
      <c r="AR5" s="174">
        <v>0</v>
      </c>
      <c r="AS5" s="174">
        <v>0</v>
      </c>
      <c r="AT5" s="240"/>
      <c r="AU5" s="174">
        <v>0</v>
      </c>
      <c r="AV5" s="174">
        <v>0</v>
      </c>
      <c r="AW5" s="174">
        <v>0</v>
      </c>
      <c r="AX5" s="174">
        <v>0</v>
      </c>
      <c r="AY5" s="174">
        <v>0</v>
      </c>
      <c r="AZ5" s="240"/>
      <c r="BA5" s="174">
        <v>0</v>
      </c>
      <c r="BB5" s="174">
        <v>0</v>
      </c>
      <c r="BC5" s="174">
        <v>0</v>
      </c>
      <c r="BD5" s="174">
        <v>0</v>
      </c>
      <c r="BE5" s="174">
        <v>0</v>
      </c>
      <c r="BF5" s="174">
        <v>0</v>
      </c>
      <c r="BG5" s="174">
        <v>0</v>
      </c>
      <c r="BH5" s="174"/>
      <c r="BI5" s="174">
        <v>0</v>
      </c>
      <c r="BJ5" s="174">
        <v>0</v>
      </c>
      <c r="BK5" s="174"/>
      <c r="BL5" s="174">
        <v>0</v>
      </c>
      <c r="BM5" s="174">
        <v>0</v>
      </c>
      <c r="BN5" s="174">
        <v>-1608</v>
      </c>
      <c r="BO5" s="174">
        <v>-1608</v>
      </c>
      <c r="BP5" s="174">
        <v>-221</v>
      </c>
      <c r="BQ5" s="340">
        <v>-359</v>
      </c>
    </row>
    <row r="6" spans="1:69" ht="12" customHeight="1">
      <c r="A6" s="283" t="s">
        <v>107</v>
      </c>
      <c r="B6" s="169"/>
      <c r="C6" s="177">
        <v>15</v>
      </c>
      <c r="D6"/>
      <c r="E6" s="177">
        <v>0</v>
      </c>
      <c r="F6" s="174">
        <v>0</v>
      </c>
      <c r="G6" s="174">
        <v>0</v>
      </c>
      <c r="H6" s="174">
        <v>671</v>
      </c>
      <c r="I6" s="174">
        <v>671</v>
      </c>
      <c r="J6"/>
      <c r="K6" s="177">
        <v>0</v>
      </c>
      <c r="L6" s="174">
        <v>0</v>
      </c>
      <c r="M6" s="174">
        <v>0</v>
      </c>
      <c r="N6" s="174">
        <v>0</v>
      </c>
      <c r="O6" s="174">
        <v>0</v>
      </c>
      <c r="P6"/>
      <c r="Q6" s="177">
        <v>0</v>
      </c>
      <c r="R6" s="174">
        <v>0</v>
      </c>
      <c r="S6" s="174">
        <v>0</v>
      </c>
      <c r="T6" s="174">
        <v>0</v>
      </c>
      <c r="U6" s="174">
        <v>0</v>
      </c>
      <c r="V6"/>
      <c r="W6" s="177">
        <v>0</v>
      </c>
      <c r="X6" s="174">
        <v>0</v>
      </c>
      <c r="Y6" s="174">
        <v>0</v>
      </c>
      <c r="Z6" s="174">
        <v>0</v>
      </c>
      <c r="AA6" s="174">
        <v>0</v>
      </c>
      <c r="AB6"/>
      <c r="AC6" s="177">
        <v>0</v>
      </c>
      <c r="AD6" s="217">
        <v>0</v>
      </c>
      <c r="AE6" s="217">
        <v>0</v>
      </c>
      <c r="AF6" s="174">
        <v>0</v>
      </c>
      <c r="AG6" s="174">
        <v>0</v>
      </c>
      <c r="AH6"/>
      <c r="AI6" s="177">
        <v>0</v>
      </c>
      <c r="AJ6" s="217">
        <v>0</v>
      </c>
      <c r="AK6" s="217">
        <v>0</v>
      </c>
      <c r="AL6" s="174">
        <v>0</v>
      </c>
      <c r="AM6" s="174">
        <v>0</v>
      </c>
      <c r="AN6"/>
      <c r="AO6" s="206">
        <v>0</v>
      </c>
      <c r="AP6" s="217">
        <v>0</v>
      </c>
      <c r="AQ6" s="174">
        <v>0</v>
      </c>
      <c r="AR6" s="174">
        <v>0</v>
      </c>
      <c r="AS6" s="174">
        <v>0</v>
      </c>
      <c r="AT6" s="240"/>
      <c r="AU6" s="174">
        <v>0</v>
      </c>
      <c r="AV6" s="174">
        <v>0</v>
      </c>
      <c r="AW6" s="174">
        <v>0</v>
      </c>
      <c r="AX6" s="174">
        <v>0</v>
      </c>
      <c r="AY6" s="174">
        <v>0</v>
      </c>
      <c r="AZ6" s="240"/>
      <c r="BA6" s="174">
        <v>0</v>
      </c>
      <c r="BB6" s="174">
        <v>0</v>
      </c>
      <c r="BC6" s="174">
        <v>0</v>
      </c>
      <c r="BD6" s="174">
        <v>0</v>
      </c>
      <c r="BE6" s="174">
        <v>0</v>
      </c>
      <c r="BF6" s="174">
        <v>0</v>
      </c>
      <c r="BG6" s="174">
        <v>0</v>
      </c>
      <c r="BH6" s="174"/>
      <c r="BI6" s="174">
        <v>0</v>
      </c>
      <c r="BJ6" s="174">
        <v>0</v>
      </c>
      <c r="BK6" s="174"/>
      <c r="BL6" s="174">
        <v>0</v>
      </c>
      <c r="BM6" s="174">
        <v>0</v>
      </c>
      <c r="BN6" s="174">
        <v>-252</v>
      </c>
      <c r="BO6" s="174">
        <v>-252</v>
      </c>
      <c r="BP6" s="174">
        <v>0</v>
      </c>
      <c r="BQ6" s="340">
        <v>0</v>
      </c>
    </row>
    <row r="7" spans="1:69" ht="18" customHeight="1">
      <c r="A7" s="283" t="s">
        <v>191</v>
      </c>
      <c r="B7" s="170"/>
      <c r="C7" s="177">
        <v>0</v>
      </c>
      <c r="D7"/>
      <c r="E7" s="177">
        <v>0</v>
      </c>
      <c r="F7" s="174">
        <v>0</v>
      </c>
      <c r="G7" s="174">
        <v>0</v>
      </c>
      <c r="H7" s="174">
        <v>0</v>
      </c>
      <c r="I7" s="174">
        <v>0</v>
      </c>
      <c r="J7"/>
      <c r="K7" s="177">
        <v>0</v>
      </c>
      <c r="L7" s="174">
        <v>0</v>
      </c>
      <c r="M7" s="174">
        <v>0</v>
      </c>
      <c r="N7" s="174">
        <v>4394</v>
      </c>
      <c r="O7" s="174">
        <v>4394</v>
      </c>
      <c r="P7"/>
      <c r="Q7" s="177">
        <v>0</v>
      </c>
      <c r="R7" s="174">
        <v>0</v>
      </c>
      <c r="S7" s="174">
        <v>0</v>
      </c>
      <c r="T7" s="174">
        <v>0</v>
      </c>
      <c r="U7" s="174">
        <v>0</v>
      </c>
      <c r="V7"/>
      <c r="W7" s="177">
        <v>0</v>
      </c>
      <c r="X7" s="174">
        <v>0</v>
      </c>
      <c r="Y7" s="174">
        <v>0</v>
      </c>
      <c r="Z7" s="174">
        <v>-733</v>
      </c>
      <c r="AA7" s="174">
        <v>-733</v>
      </c>
      <c r="AB7"/>
      <c r="AC7" s="177">
        <v>0</v>
      </c>
      <c r="AD7" s="217">
        <v>0</v>
      </c>
      <c r="AE7" s="217">
        <v>0</v>
      </c>
      <c r="AF7" s="174">
        <v>-106</v>
      </c>
      <c r="AG7" s="174">
        <v>-106</v>
      </c>
      <c r="AH7"/>
      <c r="AI7" s="177">
        <v>0</v>
      </c>
      <c r="AJ7" s="217">
        <v>0</v>
      </c>
      <c r="AK7" s="217">
        <v>0</v>
      </c>
      <c r="AL7" s="174">
        <v>-74</v>
      </c>
      <c r="AM7" s="174">
        <v>-74</v>
      </c>
      <c r="AN7"/>
      <c r="AO7" s="206">
        <v>0</v>
      </c>
      <c r="AP7" s="217">
        <v>-1665</v>
      </c>
      <c r="AQ7" s="174">
        <v>10</v>
      </c>
      <c r="AR7" s="174">
        <v>-725</v>
      </c>
      <c r="AS7" s="174">
        <v>-2380</v>
      </c>
      <c r="AT7" s="240"/>
      <c r="AU7" s="174">
        <v>-64</v>
      </c>
      <c r="AV7" s="174">
        <v>-719</v>
      </c>
      <c r="AW7" s="174">
        <v>0</v>
      </c>
      <c r="AX7" s="174">
        <v>-90</v>
      </c>
      <c r="AY7" s="174">
        <v>-873</v>
      </c>
      <c r="AZ7" s="240"/>
      <c r="BA7" s="174">
        <v>0</v>
      </c>
      <c r="BB7" s="174">
        <v>-482</v>
      </c>
      <c r="BC7" s="174">
        <v>-11</v>
      </c>
      <c r="BD7" s="174">
        <v>392</v>
      </c>
      <c r="BE7" s="174">
        <v>-101</v>
      </c>
      <c r="BF7" s="174">
        <v>0</v>
      </c>
      <c r="BG7" s="174">
        <v>407</v>
      </c>
      <c r="BH7" s="174">
        <v>-154</v>
      </c>
      <c r="BI7" s="174">
        <v>-479</v>
      </c>
      <c r="BJ7" s="174">
        <v>-226</v>
      </c>
      <c r="BK7" s="174">
        <v>-3</v>
      </c>
      <c r="BL7" s="174">
        <v>-148</v>
      </c>
      <c r="BM7" s="174">
        <v>-7</v>
      </c>
      <c r="BN7" s="174">
        <v>-326</v>
      </c>
      <c r="BO7" s="174">
        <v>-484</v>
      </c>
      <c r="BP7" s="174">
        <v>-103</v>
      </c>
      <c r="BQ7" s="340">
        <v>-502</v>
      </c>
    </row>
    <row r="8" spans="1:69" ht="11.25" customHeight="1">
      <c r="A8" s="518" t="s">
        <v>192</v>
      </c>
      <c r="B8" s="2"/>
      <c r="C8" s="177">
        <v>-282</v>
      </c>
      <c r="D8"/>
      <c r="E8" s="177">
        <v>-82</v>
      </c>
      <c r="F8" s="174">
        <v>-95</v>
      </c>
      <c r="G8" s="174">
        <v>-142</v>
      </c>
      <c r="H8" s="174">
        <v>-147</v>
      </c>
      <c r="I8" s="174">
        <v>-466</v>
      </c>
      <c r="J8"/>
      <c r="K8" s="177">
        <v>-153</v>
      </c>
      <c r="L8" s="174">
        <v>-153</v>
      </c>
      <c r="M8" s="174">
        <v>-159</v>
      </c>
      <c r="N8" s="174">
        <v>-168</v>
      </c>
      <c r="O8" s="174">
        <v>-633</v>
      </c>
      <c r="P8"/>
      <c r="Q8" s="177">
        <v>-82</v>
      </c>
      <c r="R8" s="174">
        <v>-79</v>
      </c>
      <c r="S8" s="174">
        <v>-79</v>
      </c>
      <c r="T8" s="174">
        <v>-79</v>
      </c>
      <c r="U8" s="174">
        <v>-319</v>
      </c>
      <c r="V8"/>
      <c r="W8" s="177">
        <v>-81</v>
      </c>
      <c r="X8" s="174">
        <v>-45</v>
      </c>
      <c r="Y8" s="174">
        <v>-66</v>
      </c>
      <c r="Z8" s="174">
        <v>-65</v>
      </c>
      <c r="AA8" s="174">
        <v>-257</v>
      </c>
      <c r="AB8"/>
      <c r="AC8" s="177">
        <v>-82</v>
      </c>
      <c r="AD8" s="217">
        <v>-84</v>
      </c>
      <c r="AE8" s="217">
        <v>-89</v>
      </c>
      <c r="AF8" s="174">
        <v>-86</v>
      </c>
      <c r="AG8" s="174">
        <v>-341</v>
      </c>
      <c r="AH8"/>
      <c r="AI8" s="177">
        <v>-96</v>
      </c>
      <c r="AJ8" s="217">
        <v>-97</v>
      </c>
      <c r="AK8" s="217">
        <v>-91</v>
      </c>
      <c r="AL8" s="174">
        <v>-93</v>
      </c>
      <c r="AM8" s="174">
        <v>-377</v>
      </c>
      <c r="AN8"/>
      <c r="AO8" s="206">
        <v>-97</v>
      </c>
      <c r="AP8" s="217">
        <v>-97</v>
      </c>
      <c r="AQ8" s="174">
        <v>-128</v>
      </c>
      <c r="AR8" s="174">
        <v>-172</v>
      </c>
      <c r="AS8" s="174">
        <v>-494</v>
      </c>
      <c r="AT8" s="240"/>
      <c r="AU8" s="174">
        <v>-183</v>
      </c>
      <c r="AV8" s="174">
        <v>-136</v>
      </c>
      <c r="AW8" s="174">
        <v>-158</v>
      </c>
      <c r="AX8" s="174">
        <v>-105</v>
      </c>
      <c r="AY8" s="174">
        <v>-582</v>
      </c>
      <c r="AZ8" s="240"/>
      <c r="BA8" s="174">
        <v>-147</v>
      </c>
      <c r="BB8" s="174">
        <v>-145</v>
      </c>
      <c r="BC8" s="174">
        <v>-154</v>
      </c>
      <c r="BD8" s="174">
        <v>-151</v>
      </c>
      <c r="BE8" s="174">
        <v>-597</v>
      </c>
      <c r="BF8" s="174">
        <v>-144</v>
      </c>
      <c r="BG8" s="174">
        <v>-147</v>
      </c>
      <c r="BH8" s="174">
        <v>-139</v>
      </c>
      <c r="BI8" s="174">
        <v>-122</v>
      </c>
      <c r="BJ8" s="174">
        <v>-552</v>
      </c>
      <c r="BK8" s="174">
        <v>-147</v>
      </c>
      <c r="BL8" s="174">
        <v>-140</v>
      </c>
      <c r="BM8" s="174">
        <v>-137</v>
      </c>
      <c r="BN8" s="174">
        <v>-133</v>
      </c>
      <c r="BO8" s="174">
        <v>-557</v>
      </c>
      <c r="BP8" s="174">
        <v>-130</v>
      </c>
      <c r="BQ8" s="340">
        <v>-128</v>
      </c>
    </row>
    <row r="9" spans="1:69" ht="12" customHeight="1">
      <c r="A9" s="518" t="s">
        <v>193</v>
      </c>
      <c r="B9" s="2"/>
      <c r="C9" s="177">
        <v>142</v>
      </c>
      <c r="D9"/>
      <c r="E9" s="177">
        <v>53</v>
      </c>
      <c r="F9" s="174">
        <v>88</v>
      </c>
      <c r="G9" s="174">
        <v>31</v>
      </c>
      <c r="H9" s="174">
        <v>29</v>
      </c>
      <c r="I9" s="174">
        <v>201</v>
      </c>
      <c r="J9"/>
      <c r="K9" s="177">
        <v>29</v>
      </c>
      <c r="L9" s="174">
        <v>30</v>
      </c>
      <c r="M9" s="174">
        <v>44</v>
      </c>
      <c r="N9" s="174">
        <v>49</v>
      </c>
      <c r="O9" s="174">
        <v>152</v>
      </c>
      <c r="P9"/>
      <c r="Q9" s="177">
        <v>44</v>
      </c>
      <c r="R9" s="174">
        <v>34</v>
      </c>
      <c r="S9" s="174">
        <v>35</v>
      </c>
      <c r="T9" s="174">
        <v>35</v>
      </c>
      <c r="U9" s="174">
        <v>148</v>
      </c>
      <c r="V9"/>
      <c r="W9" s="177">
        <v>34</v>
      </c>
      <c r="X9" s="174">
        <v>36</v>
      </c>
      <c r="Y9" s="174">
        <v>52</v>
      </c>
      <c r="Z9" s="174">
        <v>-13</v>
      </c>
      <c r="AA9" s="174">
        <v>109</v>
      </c>
      <c r="AB9"/>
      <c r="AC9" s="177">
        <v>47</v>
      </c>
      <c r="AD9" s="217">
        <v>52</v>
      </c>
      <c r="AE9" s="217">
        <v>7</v>
      </c>
      <c r="AF9" s="174">
        <v>138</v>
      </c>
      <c r="AG9" s="174">
        <v>244</v>
      </c>
      <c r="AH9"/>
      <c r="AI9" s="177">
        <v>51</v>
      </c>
      <c r="AJ9" s="217">
        <v>62</v>
      </c>
      <c r="AK9" s="217">
        <v>7</v>
      </c>
      <c r="AL9" s="174">
        <v>39</v>
      </c>
      <c r="AM9" s="174">
        <v>159</v>
      </c>
      <c r="AN9"/>
      <c r="AO9" s="206">
        <v>29</v>
      </c>
      <c r="AP9" s="217">
        <v>33</v>
      </c>
      <c r="AQ9" s="174">
        <v>23</v>
      </c>
      <c r="AR9" s="174">
        <v>35</v>
      </c>
      <c r="AS9" s="174">
        <v>120</v>
      </c>
      <c r="AT9" s="240"/>
      <c r="AU9" s="174">
        <v>24</v>
      </c>
      <c r="AV9" s="174">
        <v>3</v>
      </c>
      <c r="AW9" s="174">
        <v>11</v>
      </c>
      <c r="AX9" s="174">
        <v>-8</v>
      </c>
      <c r="AY9" s="174">
        <v>30</v>
      </c>
      <c r="AZ9" s="240"/>
      <c r="BA9" s="174">
        <v>10</v>
      </c>
      <c r="BB9" s="174">
        <v>-18</v>
      </c>
      <c r="BC9" s="174">
        <v>60</v>
      </c>
      <c r="BD9" s="174">
        <v>45</v>
      </c>
      <c r="BE9" s="174">
        <v>97</v>
      </c>
      <c r="BF9" s="174">
        <v>48</v>
      </c>
      <c r="BG9" s="174">
        <v>46</v>
      </c>
      <c r="BH9" s="174">
        <v>36</v>
      </c>
      <c r="BI9" s="174">
        <v>53</v>
      </c>
      <c r="BJ9" s="174">
        <v>183</v>
      </c>
      <c r="BK9" s="174">
        <v>30</v>
      </c>
      <c r="BL9" s="174">
        <v>40</v>
      </c>
      <c r="BM9" s="174">
        <v>27</v>
      </c>
      <c r="BN9" s="174">
        <v>-50</v>
      </c>
      <c r="BO9" s="174">
        <v>47</v>
      </c>
      <c r="BP9" s="174">
        <v>18</v>
      </c>
      <c r="BQ9" s="340">
        <v>6</v>
      </c>
    </row>
    <row r="10" spans="1:69" ht="12" customHeight="1">
      <c r="A10" s="495" t="s">
        <v>194</v>
      </c>
      <c r="B10" s="3"/>
      <c r="C10" s="177">
        <v>66</v>
      </c>
      <c r="D10"/>
      <c r="E10" s="177">
        <v>0</v>
      </c>
      <c r="F10" s="174">
        <v>3</v>
      </c>
      <c r="G10" s="174">
        <v>211</v>
      </c>
      <c r="H10" s="174">
        <v>2756</v>
      </c>
      <c r="I10" s="174">
        <v>2970</v>
      </c>
      <c r="J10"/>
      <c r="K10" s="177">
        <v>57</v>
      </c>
      <c r="L10" s="174">
        <v>9</v>
      </c>
      <c r="M10" s="174">
        <v>5</v>
      </c>
      <c r="N10" s="174">
        <v>1461</v>
      </c>
      <c r="O10" s="174">
        <v>1532</v>
      </c>
      <c r="P10"/>
      <c r="Q10" s="177">
        <v>0</v>
      </c>
      <c r="R10" s="174">
        <v>1</v>
      </c>
      <c r="S10" s="174">
        <v>0</v>
      </c>
      <c r="T10" s="174">
        <v>502</v>
      </c>
      <c r="U10" s="174">
        <v>503</v>
      </c>
      <c r="V10"/>
      <c r="W10" s="177">
        <v>10</v>
      </c>
      <c r="X10" s="174">
        <v>4</v>
      </c>
      <c r="Y10" s="174">
        <v>0</v>
      </c>
      <c r="Z10" s="174">
        <v>55</v>
      </c>
      <c r="AA10" s="174">
        <v>69</v>
      </c>
      <c r="AB10"/>
      <c r="AC10" s="177">
        <v>0</v>
      </c>
      <c r="AD10" s="217">
        <v>0</v>
      </c>
      <c r="AE10" s="217">
        <v>0</v>
      </c>
      <c r="AF10" s="174">
        <v>51</v>
      </c>
      <c r="AG10" s="174">
        <v>51</v>
      </c>
      <c r="AH10"/>
      <c r="AI10" s="177">
        <v>27</v>
      </c>
      <c r="AJ10" s="217">
        <v>65</v>
      </c>
      <c r="AK10" s="217">
        <v>2</v>
      </c>
      <c r="AL10" s="174">
        <v>145</v>
      </c>
      <c r="AM10" s="174">
        <v>239</v>
      </c>
      <c r="AN10"/>
      <c r="AO10" s="206">
        <v>0</v>
      </c>
      <c r="AP10" s="217">
        <v>0</v>
      </c>
      <c r="AQ10" s="174">
        <v>-15</v>
      </c>
      <c r="AR10" s="174">
        <v>349</v>
      </c>
      <c r="AS10" s="174">
        <v>334</v>
      </c>
      <c r="AT10" s="240"/>
      <c r="AU10" s="174">
        <v>0</v>
      </c>
      <c r="AV10" s="174">
        <v>54</v>
      </c>
      <c r="AW10" s="174">
        <v>-1</v>
      </c>
      <c r="AX10" s="174">
        <v>94</v>
      </c>
      <c r="AY10" s="174">
        <v>147</v>
      </c>
      <c r="AZ10" s="240"/>
      <c r="BA10" s="174">
        <v>8</v>
      </c>
      <c r="BB10" s="174">
        <v>-29</v>
      </c>
      <c r="BC10" s="174">
        <v>-1</v>
      </c>
      <c r="BD10" s="174">
        <v>4002</v>
      </c>
      <c r="BE10" s="174">
        <v>3980</v>
      </c>
      <c r="BF10" s="174">
        <v>20</v>
      </c>
      <c r="BG10" s="174">
        <v>27</v>
      </c>
      <c r="BH10" s="174">
        <v>-40</v>
      </c>
      <c r="BI10" s="174">
        <v>231</v>
      </c>
      <c r="BJ10" s="174">
        <v>238</v>
      </c>
      <c r="BK10" s="174">
        <v>3</v>
      </c>
      <c r="BL10" s="174">
        <v>23</v>
      </c>
      <c r="BM10" s="174">
        <v>17</v>
      </c>
      <c r="BN10" s="174">
        <v>339</v>
      </c>
      <c r="BO10" s="174">
        <v>382</v>
      </c>
      <c r="BP10" s="174">
        <v>4</v>
      </c>
      <c r="BQ10" s="340">
        <v>-1</v>
      </c>
    </row>
    <row r="11" spans="1:69" ht="12" customHeight="1">
      <c r="A11" s="518" t="s">
        <v>195</v>
      </c>
      <c r="B11" s="2"/>
      <c r="C11" s="177">
        <v>272</v>
      </c>
      <c r="D11"/>
      <c r="E11" s="177">
        <v>240</v>
      </c>
      <c r="F11" s="174">
        <v>-446</v>
      </c>
      <c r="G11" s="174">
        <v>91</v>
      </c>
      <c r="H11" s="174">
        <v>-17</v>
      </c>
      <c r="I11" s="174">
        <v>-132</v>
      </c>
      <c r="J11"/>
      <c r="K11" s="177">
        <v>-254</v>
      </c>
      <c r="L11" s="174">
        <v>163</v>
      </c>
      <c r="M11" s="174">
        <v>-96</v>
      </c>
      <c r="N11" s="174">
        <v>-18</v>
      </c>
      <c r="O11" s="174">
        <v>-205</v>
      </c>
      <c r="P11"/>
      <c r="Q11" s="177">
        <v>7</v>
      </c>
      <c r="R11" s="174">
        <v>-129</v>
      </c>
      <c r="S11" s="174">
        <v>144</v>
      </c>
      <c r="T11" s="174">
        <v>297</v>
      </c>
      <c r="U11" s="174">
        <v>319</v>
      </c>
      <c r="V11"/>
      <c r="W11" s="177">
        <v>84</v>
      </c>
      <c r="X11" s="174">
        <v>13</v>
      </c>
      <c r="Y11" s="174">
        <v>19</v>
      </c>
      <c r="Z11" s="174">
        <v>33</v>
      </c>
      <c r="AA11" s="174">
        <v>149</v>
      </c>
      <c r="AB11"/>
      <c r="AC11" s="177">
        <v>-137</v>
      </c>
      <c r="AD11" s="217">
        <v>-216</v>
      </c>
      <c r="AE11" s="217">
        <v>-180</v>
      </c>
      <c r="AF11" s="174">
        <v>540</v>
      </c>
      <c r="AG11" s="174">
        <v>7</v>
      </c>
      <c r="AH11"/>
      <c r="AI11" s="177">
        <v>-583</v>
      </c>
      <c r="AJ11" s="217">
        <v>186</v>
      </c>
      <c r="AK11" s="217">
        <v>170</v>
      </c>
      <c r="AL11" s="174">
        <v>508</v>
      </c>
      <c r="AM11" s="174">
        <v>281</v>
      </c>
      <c r="AN11"/>
      <c r="AO11" s="206">
        <v>-102</v>
      </c>
      <c r="AP11" s="217">
        <v>657</v>
      </c>
      <c r="AQ11" s="174">
        <v>-247</v>
      </c>
      <c r="AR11" s="174">
        <v>-62</v>
      </c>
      <c r="AS11" s="174">
        <v>246</v>
      </c>
      <c r="AT11" s="240"/>
      <c r="AU11" s="174">
        <v>-225</v>
      </c>
      <c r="AV11" s="174">
        <v>-792</v>
      </c>
      <c r="AW11" s="174">
        <v>-1119</v>
      </c>
      <c r="AX11" s="174">
        <v>1163</v>
      </c>
      <c r="AY11" s="174">
        <v>-973</v>
      </c>
      <c r="AZ11" s="240"/>
      <c r="BA11" s="174">
        <v>398</v>
      </c>
      <c r="BB11" s="174">
        <f>974</f>
        <v>974</v>
      </c>
      <c r="BC11" s="174">
        <v>-588</v>
      </c>
      <c r="BD11" s="217">
        <f>1088-66</f>
        <v>1022</v>
      </c>
      <c r="BE11" s="217">
        <f>1872-66</f>
        <v>1806</v>
      </c>
      <c r="BF11" s="174">
        <v>4</v>
      </c>
      <c r="BG11" s="174">
        <f>116-407</f>
        <v>-291</v>
      </c>
      <c r="BH11" s="174">
        <v>622</v>
      </c>
      <c r="BI11" s="174">
        <v>-614</v>
      </c>
      <c r="BJ11" s="174">
        <v>-279</v>
      </c>
      <c r="BK11" s="174">
        <v>706</v>
      </c>
      <c r="BL11" s="174">
        <v>322</v>
      </c>
      <c r="BM11" s="174">
        <v>292</v>
      </c>
      <c r="BN11" s="174">
        <v>662</v>
      </c>
      <c r="BO11" s="174">
        <v>1982</v>
      </c>
      <c r="BP11" s="174">
        <v>-129</v>
      </c>
      <c r="BQ11" s="340">
        <v>115</v>
      </c>
    </row>
    <row r="12" spans="1:69" s="193" customFormat="1" ht="12" customHeight="1">
      <c r="A12" s="519" t="s">
        <v>196</v>
      </c>
      <c r="B12" s="4"/>
      <c r="C12" s="177">
        <v>2100</v>
      </c>
      <c r="E12" s="177">
        <v>775</v>
      </c>
      <c r="F12" s="174">
        <v>-69</v>
      </c>
      <c r="G12" s="174">
        <v>1033</v>
      </c>
      <c r="H12" s="174">
        <v>7905</v>
      </c>
      <c r="I12" s="174">
        <v>9644</v>
      </c>
      <c r="K12" s="177">
        <v>297</v>
      </c>
      <c r="L12" s="174">
        <v>717</v>
      </c>
      <c r="M12" s="174">
        <v>576</v>
      </c>
      <c r="N12" s="174">
        <v>6548</v>
      </c>
      <c r="O12" s="174">
        <v>8138</v>
      </c>
      <c r="Q12" s="177">
        <v>340</v>
      </c>
      <c r="R12" s="174">
        <v>443</v>
      </c>
      <c r="S12" s="174">
        <v>483</v>
      </c>
      <c r="T12" s="174">
        <v>1468</v>
      </c>
      <c r="U12" s="174">
        <v>2734</v>
      </c>
      <c r="W12" s="177">
        <v>397</v>
      </c>
      <c r="X12" s="174">
        <v>776</v>
      </c>
      <c r="Y12" s="174">
        <v>461</v>
      </c>
      <c r="Z12" s="174">
        <v>161</v>
      </c>
      <c r="AA12" s="174">
        <v>1795</v>
      </c>
      <c r="AC12" s="177">
        <v>281</v>
      </c>
      <c r="AD12" s="217">
        <v>283</v>
      </c>
      <c r="AE12" s="217">
        <v>281</v>
      </c>
      <c r="AF12" s="174">
        <v>1368</v>
      </c>
      <c r="AG12" s="174">
        <v>2213</v>
      </c>
      <c r="AI12" s="177">
        <v>-118</v>
      </c>
      <c r="AJ12" s="217">
        <v>896</v>
      </c>
      <c r="AK12" s="217">
        <v>522</v>
      </c>
      <c r="AL12" s="174">
        <v>1095</v>
      </c>
      <c r="AM12" s="174">
        <v>2395</v>
      </c>
      <c r="AO12" s="206">
        <v>325</v>
      </c>
      <c r="AP12" s="217">
        <v>-537</v>
      </c>
      <c r="AQ12" s="174">
        <v>211</v>
      </c>
      <c r="AR12" s="174">
        <v>-50</v>
      </c>
      <c r="AS12" s="174">
        <v>-51</v>
      </c>
      <c r="AT12" s="239"/>
      <c r="AU12" s="174">
        <v>45</v>
      </c>
      <c r="AV12" s="174">
        <v>-1039</v>
      </c>
      <c r="AW12" s="174">
        <v>-706</v>
      </c>
      <c r="AX12" s="174">
        <v>1688</v>
      </c>
      <c r="AY12" s="174">
        <v>-12</v>
      </c>
      <c r="AZ12" s="239"/>
      <c r="BA12" s="174">
        <f t="shared" ref="BA12:BF12" si="0">BA11+BA10+BA9+BA8+BA4+BA7</f>
        <v>700</v>
      </c>
      <c r="BB12" s="174">
        <f t="shared" si="0"/>
        <v>789</v>
      </c>
      <c r="BC12" s="174">
        <f t="shared" si="0"/>
        <v>77</v>
      </c>
      <c r="BD12" s="217">
        <f t="shared" si="0"/>
        <v>5930</v>
      </c>
      <c r="BE12" s="217">
        <f t="shared" si="0"/>
        <v>7496</v>
      </c>
      <c r="BF12" s="174">
        <f t="shared" si="0"/>
        <v>284</v>
      </c>
      <c r="BG12" s="174">
        <f>BG11+BG10+BG9+BG8+BG4+BG7</f>
        <v>508</v>
      </c>
      <c r="BH12" s="174">
        <f>BH11+BH10+BH9+BH8+BH4+BH7</f>
        <v>916</v>
      </c>
      <c r="BI12" s="174">
        <f>BI11+BI10+BI9+BI8+BI4+BI7</f>
        <v>-338</v>
      </c>
      <c r="BJ12" s="174">
        <f>BJ11+BJ10+BJ9+BJ8+BJ4+BJ7</f>
        <v>1370</v>
      </c>
      <c r="BK12" s="174">
        <f>BK11+BK10+BK9+BK8+BK4+BK7</f>
        <v>1047</v>
      </c>
      <c r="BL12" s="174">
        <v>653</v>
      </c>
      <c r="BM12" s="174">
        <v>876</v>
      </c>
      <c r="BN12" s="174">
        <f>BN4+BN5+BN6+BN7+BN8+BN9+BN10+BN11</f>
        <v>-700</v>
      </c>
      <c r="BO12" s="174">
        <f>BO4+BO5+BO6+BO7+BO8+BO9+BO10+BO11</f>
        <v>1876</v>
      </c>
      <c r="BP12" s="174">
        <f>BP4+BP5+BP6+BP7+BP8+BP9+BP10+BP11</f>
        <v>-73</v>
      </c>
      <c r="BQ12" s="340">
        <v>-324</v>
      </c>
    </row>
    <row r="13" spans="1:69" ht="12" customHeight="1">
      <c r="A13" s="519" t="s">
        <v>197</v>
      </c>
      <c r="B13" s="4"/>
      <c r="C13" s="177">
        <v>-868</v>
      </c>
      <c r="D13"/>
      <c r="E13" s="177">
        <v>-237</v>
      </c>
      <c r="F13" s="174">
        <v>-219</v>
      </c>
      <c r="G13" s="174">
        <v>-235</v>
      </c>
      <c r="H13" s="174">
        <v>-234</v>
      </c>
      <c r="I13" s="174">
        <v>-925</v>
      </c>
      <c r="J13"/>
      <c r="K13" s="177">
        <v>-62</v>
      </c>
      <c r="L13" s="174">
        <v>-65</v>
      </c>
      <c r="M13" s="174">
        <v>-208</v>
      </c>
      <c r="N13" s="174">
        <v>-116</v>
      </c>
      <c r="O13" s="174">
        <v>-451</v>
      </c>
      <c r="P13"/>
      <c r="Q13" s="177">
        <v>-416</v>
      </c>
      <c r="R13" s="174">
        <v>-287</v>
      </c>
      <c r="S13" s="174">
        <v>-115</v>
      </c>
      <c r="T13" s="174">
        <v>-165</v>
      </c>
      <c r="U13" s="174">
        <v>-983</v>
      </c>
      <c r="V13"/>
      <c r="W13" s="177">
        <v>-167</v>
      </c>
      <c r="X13" s="174">
        <v>-246</v>
      </c>
      <c r="Y13" s="174">
        <v>-194</v>
      </c>
      <c r="Z13" s="174">
        <v>-195</v>
      </c>
      <c r="AA13" s="174">
        <v>-802</v>
      </c>
      <c r="AB13"/>
      <c r="AC13" s="177">
        <v>-66</v>
      </c>
      <c r="AD13" s="217">
        <v>-191</v>
      </c>
      <c r="AE13" s="217">
        <v>-77</v>
      </c>
      <c r="AF13" s="174">
        <v>-76</v>
      </c>
      <c r="AG13" s="174">
        <v>-410</v>
      </c>
      <c r="AH13"/>
      <c r="AI13" s="177">
        <v>-190</v>
      </c>
      <c r="AJ13" s="217">
        <v>-196</v>
      </c>
      <c r="AK13" s="217">
        <v>-58</v>
      </c>
      <c r="AL13" s="174">
        <v>-223</v>
      </c>
      <c r="AM13" s="174">
        <v>-667</v>
      </c>
      <c r="AN13"/>
      <c r="AO13" s="206">
        <v>-200</v>
      </c>
      <c r="AP13" s="217">
        <v>-190</v>
      </c>
      <c r="AQ13" s="174">
        <v>-179</v>
      </c>
      <c r="AR13" s="174">
        <v>-171</v>
      </c>
      <c r="AS13" s="174">
        <v>-740</v>
      </c>
      <c r="AT13" s="240"/>
      <c r="AU13" s="174">
        <v>-181</v>
      </c>
      <c r="AV13" s="174">
        <v>-1118</v>
      </c>
      <c r="AW13" s="174">
        <v>-192</v>
      </c>
      <c r="AX13" s="174">
        <v>-205</v>
      </c>
      <c r="AY13" s="174">
        <v>-1696</v>
      </c>
      <c r="AZ13" s="240"/>
      <c r="BA13" s="174">
        <v>-248</v>
      </c>
      <c r="BB13" s="174">
        <v>-833</v>
      </c>
      <c r="BC13" s="174">
        <v>-243</v>
      </c>
      <c r="BD13" s="217">
        <v>-322</v>
      </c>
      <c r="BE13" s="217">
        <v>-1646</v>
      </c>
      <c r="BF13" s="174">
        <v>-106</v>
      </c>
      <c r="BG13" s="174">
        <v>213</v>
      </c>
      <c r="BH13" s="174">
        <v>-257</v>
      </c>
      <c r="BI13" s="174">
        <v>-263</v>
      </c>
      <c r="BJ13" s="174">
        <v>-413</v>
      </c>
      <c r="BK13" s="174">
        <v>-383</v>
      </c>
      <c r="BL13" s="174">
        <v>-199</v>
      </c>
      <c r="BM13" s="174">
        <v>-167</v>
      </c>
      <c r="BN13" s="174">
        <v>-166</v>
      </c>
      <c r="BO13" s="174">
        <v>-915</v>
      </c>
      <c r="BP13" s="174">
        <v>-766</v>
      </c>
      <c r="BQ13" s="340">
        <v>-411</v>
      </c>
    </row>
    <row r="14" spans="1:69" ht="12" customHeight="1">
      <c r="A14" s="519" t="s">
        <v>198</v>
      </c>
      <c r="B14" s="4"/>
      <c r="C14" s="177">
        <v>519</v>
      </c>
      <c r="D14"/>
      <c r="E14" s="177">
        <v>93</v>
      </c>
      <c r="F14" s="174">
        <v>393</v>
      </c>
      <c r="G14" s="174">
        <v>19</v>
      </c>
      <c r="H14" s="174">
        <v>61</v>
      </c>
      <c r="I14" s="174">
        <v>566</v>
      </c>
      <c r="J14"/>
      <c r="K14" s="177">
        <v>6</v>
      </c>
      <c r="L14" s="174">
        <v>-245</v>
      </c>
      <c r="M14" s="174">
        <v>50</v>
      </c>
      <c r="N14" s="174">
        <v>515</v>
      </c>
      <c r="O14" s="174">
        <v>326</v>
      </c>
      <c r="P14"/>
      <c r="Q14" s="177">
        <v>-497</v>
      </c>
      <c r="R14" s="174">
        <v>-40</v>
      </c>
      <c r="S14" s="174">
        <v>-609</v>
      </c>
      <c r="T14" s="174">
        <v>150</v>
      </c>
      <c r="U14" s="174">
        <v>-996</v>
      </c>
      <c r="V14"/>
      <c r="W14" s="177">
        <v>-902</v>
      </c>
      <c r="X14" s="174">
        <v>-138</v>
      </c>
      <c r="Y14" s="174">
        <v>243</v>
      </c>
      <c r="Z14" s="174">
        <v>1164</v>
      </c>
      <c r="AA14" s="174">
        <v>367</v>
      </c>
      <c r="AB14"/>
      <c r="AC14" s="177">
        <v>-518</v>
      </c>
      <c r="AD14" s="217">
        <v>373</v>
      </c>
      <c r="AE14" s="217">
        <v>-299</v>
      </c>
      <c r="AF14" s="174">
        <v>1567</v>
      </c>
      <c r="AG14" s="174">
        <v>1123</v>
      </c>
      <c r="AH14"/>
      <c r="AI14" s="177">
        <v>330</v>
      </c>
      <c r="AJ14" s="217">
        <v>102</v>
      </c>
      <c r="AK14" s="217">
        <v>87</v>
      </c>
      <c r="AL14" s="174">
        <v>653</v>
      </c>
      <c r="AM14" s="174">
        <v>1172</v>
      </c>
      <c r="AN14"/>
      <c r="AO14" s="206">
        <v>-1060</v>
      </c>
      <c r="AP14" s="217">
        <v>-650</v>
      </c>
      <c r="AQ14" s="174">
        <v>-1159</v>
      </c>
      <c r="AR14" s="174">
        <v>102</v>
      </c>
      <c r="AS14" s="174">
        <v>-2767</v>
      </c>
      <c r="AT14" s="240"/>
      <c r="AU14" s="174">
        <v>-647</v>
      </c>
      <c r="AV14" s="174">
        <v>-784</v>
      </c>
      <c r="AW14" s="174">
        <v>-85</v>
      </c>
      <c r="AX14" s="174">
        <v>-801</v>
      </c>
      <c r="AY14" s="174">
        <v>-2317</v>
      </c>
      <c r="AZ14" s="240"/>
      <c r="BA14" s="174">
        <v>515</v>
      </c>
      <c r="BB14" s="174">
        <v>1104</v>
      </c>
      <c r="BC14" s="174">
        <v>89</v>
      </c>
      <c r="BD14" s="217">
        <f>2027+66</f>
        <v>2093</v>
      </c>
      <c r="BE14" s="217">
        <f>3735+66</f>
        <v>3801</v>
      </c>
      <c r="BF14" s="174">
        <v>-795</v>
      </c>
      <c r="BG14" s="174">
        <v>975</v>
      </c>
      <c r="BH14" s="174">
        <v>-693</v>
      </c>
      <c r="BI14" s="174">
        <v>-362</v>
      </c>
      <c r="BJ14" s="174">
        <v>-875</v>
      </c>
      <c r="BK14" s="174">
        <v>5</v>
      </c>
      <c r="BL14" s="174">
        <v>-620</v>
      </c>
      <c r="BM14" s="174">
        <v>-769</v>
      </c>
      <c r="BN14" s="174">
        <v>-951</v>
      </c>
      <c r="BO14" s="174">
        <v>-2335</v>
      </c>
      <c r="BP14" s="174">
        <v>-3243</v>
      </c>
      <c r="BQ14" s="340">
        <v>-535</v>
      </c>
    </row>
    <row r="15" spans="1:69" ht="12" customHeight="1">
      <c r="A15" s="520" t="s">
        <v>199</v>
      </c>
      <c r="B15" s="171"/>
      <c r="C15" s="175">
        <v>4849</v>
      </c>
      <c r="D15"/>
      <c r="E15" s="175">
        <v>1208</v>
      </c>
      <c r="F15" s="173">
        <v>1221</v>
      </c>
      <c r="G15" s="173">
        <v>964</v>
      </c>
      <c r="H15" s="173">
        <v>770</v>
      </c>
      <c r="I15" s="173">
        <v>4163</v>
      </c>
      <c r="J15"/>
      <c r="K15" s="175">
        <v>584</v>
      </c>
      <c r="L15" s="173">
        <v>747</v>
      </c>
      <c r="M15" s="173">
        <v>949</v>
      </c>
      <c r="N15" s="173">
        <v>1932</v>
      </c>
      <c r="O15" s="173">
        <v>4212</v>
      </c>
      <c r="P15"/>
      <c r="Q15" s="175">
        <v>458</v>
      </c>
      <c r="R15" s="173">
        <v>734</v>
      </c>
      <c r="S15" s="173">
        <v>546</v>
      </c>
      <c r="T15" s="173">
        <v>1316</v>
      </c>
      <c r="U15" s="173">
        <v>3054</v>
      </c>
      <c r="V15"/>
      <c r="W15" s="175">
        <v>-11</v>
      </c>
      <c r="X15" s="173">
        <v>715</v>
      </c>
      <c r="Y15" s="173">
        <v>1118</v>
      </c>
      <c r="Z15" s="173">
        <v>2004</v>
      </c>
      <c r="AA15" s="173">
        <v>3826</v>
      </c>
      <c r="AB15"/>
      <c r="AC15" s="175">
        <v>535</v>
      </c>
      <c r="AD15" s="191">
        <v>1079</v>
      </c>
      <c r="AE15" s="191">
        <v>877</v>
      </c>
      <c r="AF15" s="173">
        <v>2557</v>
      </c>
      <c r="AG15" s="173">
        <v>5048</v>
      </c>
      <c r="AH15"/>
      <c r="AI15" s="175">
        <v>951</v>
      </c>
      <c r="AJ15" s="191">
        <v>980</v>
      </c>
      <c r="AK15" s="191">
        <v>1323</v>
      </c>
      <c r="AL15" s="173">
        <v>2402</v>
      </c>
      <c r="AM15" s="173">
        <v>5656</v>
      </c>
      <c r="AN15"/>
      <c r="AO15" s="207">
        <v>927</v>
      </c>
      <c r="AP15" s="191">
        <v>1390</v>
      </c>
      <c r="AQ15" s="173">
        <v>349</v>
      </c>
      <c r="AR15" s="173">
        <v>1600</v>
      </c>
      <c r="AS15" s="173">
        <v>4266</v>
      </c>
      <c r="AT15" s="240"/>
      <c r="AU15" s="173">
        <v>1725</v>
      </c>
      <c r="AV15" s="173">
        <v>-135</v>
      </c>
      <c r="AW15" s="173">
        <v>568</v>
      </c>
      <c r="AX15" s="173">
        <v>306</v>
      </c>
      <c r="AY15" s="173">
        <v>2464</v>
      </c>
      <c r="AZ15" s="240"/>
      <c r="BA15" s="173">
        <f>BA3+BA12+BA13+BA14</f>
        <v>1480</v>
      </c>
      <c r="BB15" s="173">
        <f t="shared" ref="BB15:BG15" si="1">BB3+BB12+BB13+BB14</f>
        <v>1450</v>
      </c>
      <c r="BC15" s="173">
        <f t="shared" si="1"/>
        <v>712</v>
      </c>
      <c r="BD15" s="173">
        <f t="shared" si="1"/>
        <v>2409</v>
      </c>
      <c r="BE15" s="173">
        <f t="shared" si="1"/>
        <v>6051</v>
      </c>
      <c r="BF15" s="173">
        <f t="shared" si="1"/>
        <v>86</v>
      </c>
      <c r="BG15" s="173">
        <f t="shared" si="1"/>
        <v>2942</v>
      </c>
      <c r="BH15" s="173">
        <f t="shared" ref="BH15:BQ15" si="2">BH3+BH12+BH13+BH14</f>
        <v>405</v>
      </c>
      <c r="BI15" s="173">
        <f t="shared" si="2"/>
        <v>1257</v>
      </c>
      <c r="BJ15" s="173">
        <f t="shared" si="2"/>
        <v>4690</v>
      </c>
      <c r="BK15" s="173">
        <f t="shared" si="2"/>
        <v>1403</v>
      </c>
      <c r="BL15" s="173">
        <f t="shared" si="2"/>
        <v>415</v>
      </c>
      <c r="BM15" s="173">
        <f t="shared" si="2"/>
        <v>864</v>
      </c>
      <c r="BN15" s="173">
        <f t="shared" si="2"/>
        <v>1353</v>
      </c>
      <c r="BO15" s="173">
        <f t="shared" si="2"/>
        <v>4035</v>
      </c>
      <c r="BP15" s="173">
        <f t="shared" si="2"/>
        <v>680</v>
      </c>
      <c r="BQ15" s="483">
        <f t="shared" si="2"/>
        <v>1876</v>
      </c>
    </row>
    <row r="16" spans="1:69" ht="11.25" hidden="1" customHeight="1">
      <c r="A16" s="1"/>
      <c r="B16" s="1"/>
      <c r="C16" s="179"/>
      <c r="E16" s="179"/>
      <c r="F16" s="178"/>
      <c r="G16" s="178"/>
      <c r="H16" s="178"/>
      <c r="I16" s="178"/>
      <c r="K16" s="179"/>
      <c r="L16" s="178"/>
      <c r="M16" s="178"/>
      <c r="N16" s="178"/>
      <c r="O16" s="178"/>
      <c r="Q16" s="179"/>
      <c r="R16" s="178"/>
      <c r="S16" s="178"/>
      <c r="T16" s="178"/>
      <c r="U16" s="178"/>
      <c r="W16" s="179"/>
      <c r="X16" s="178"/>
      <c r="Y16" s="178"/>
      <c r="Z16" s="178"/>
      <c r="AA16" s="178"/>
      <c r="AC16" s="179"/>
      <c r="AD16" s="189"/>
      <c r="AE16" s="196"/>
      <c r="AF16" s="178"/>
      <c r="AG16" s="178"/>
      <c r="AI16" s="179"/>
      <c r="AJ16" s="219"/>
      <c r="AK16" s="219"/>
      <c r="AL16" s="178"/>
      <c r="AM16" s="178"/>
      <c r="AN16" s="200"/>
      <c r="AO16" s="219"/>
      <c r="AP16" s="219"/>
      <c r="AQ16" s="178"/>
      <c r="AR16" s="178"/>
      <c r="AS16" s="178"/>
      <c r="AT16" s="241"/>
      <c r="AU16" s="178"/>
      <c r="AV16" s="178"/>
      <c r="AW16" s="178"/>
      <c r="AX16" s="178"/>
      <c r="AY16" s="178"/>
      <c r="AZ16" s="241"/>
      <c r="BA16" s="178"/>
      <c r="BB16" s="178"/>
      <c r="BC16" s="178"/>
      <c r="BD16" s="178"/>
      <c r="BE16" s="178"/>
      <c r="BF16" s="178"/>
      <c r="BG16" s="178"/>
      <c r="BH16" s="178"/>
      <c r="BI16" s="178"/>
      <c r="BJ16" s="178"/>
      <c r="BK16" s="178"/>
      <c r="BL16" s="178"/>
      <c r="BM16" s="178">
        <v>0</v>
      </c>
      <c r="BN16" s="178"/>
      <c r="BO16" s="178"/>
      <c r="BP16" s="178"/>
      <c r="BQ16" s="346"/>
    </row>
    <row r="17" spans="1:250" ht="12.75" customHeight="1">
      <c r="A17" s="518" t="s">
        <v>200</v>
      </c>
      <c r="B17" s="2"/>
      <c r="C17" s="180">
        <v>-3112</v>
      </c>
      <c r="D17"/>
      <c r="E17" s="180">
        <v>-801</v>
      </c>
      <c r="F17" s="176">
        <v>-803</v>
      </c>
      <c r="G17" s="176">
        <v>-897</v>
      </c>
      <c r="H17" s="176">
        <v>-1052</v>
      </c>
      <c r="I17" s="176">
        <v>-3553</v>
      </c>
      <c r="J17"/>
      <c r="K17" s="180">
        <v>-878</v>
      </c>
      <c r="L17" s="176">
        <v>-802</v>
      </c>
      <c r="M17" s="176">
        <v>-640</v>
      </c>
      <c r="N17" s="176">
        <v>-712</v>
      </c>
      <c r="O17" s="176">
        <v>-3032</v>
      </c>
      <c r="P17"/>
      <c r="Q17" s="180">
        <v>-562</v>
      </c>
      <c r="R17" s="176">
        <v>-549</v>
      </c>
      <c r="S17" s="176">
        <v>-532</v>
      </c>
      <c r="T17" s="176">
        <v>-884</v>
      </c>
      <c r="U17" s="176">
        <v>-2527</v>
      </c>
      <c r="V17"/>
      <c r="W17" s="180">
        <v>-601</v>
      </c>
      <c r="X17" s="176">
        <v>-552</v>
      </c>
      <c r="Y17" s="176">
        <v>-591</v>
      </c>
      <c r="Z17" s="176">
        <v>-865</v>
      </c>
      <c r="AA17" s="176">
        <v>-2609</v>
      </c>
      <c r="AB17"/>
      <c r="AC17" s="180">
        <v>-725</v>
      </c>
      <c r="AD17" s="218">
        <v>-691</v>
      </c>
      <c r="AE17" s="218">
        <v>-649</v>
      </c>
      <c r="AF17" s="176">
        <v>-807</v>
      </c>
      <c r="AG17" s="176">
        <v>-2872</v>
      </c>
      <c r="AH17"/>
      <c r="AI17" s="180">
        <v>-823</v>
      </c>
      <c r="AJ17" s="218">
        <v>-566</v>
      </c>
      <c r="AK17" s="218">
        <v>-810</v>
      </c>
      <c r="AL17" s="176">
        <v>-861</v>
      </c>
      <c r="AM17" s="176">
        <v>-3060</v>
      </c>
      <c r="AN17"/>
      <c r="AO17" s="201">
        <v>-678</v>
      </c>
      <c r="AP17" s="176">
        <v>-784</v>
      </c>
      <c r="AQ17" s="176">
        <v>-782</v>
      </c>
      <c r="AR17" s="176">
        <v>-1139</v>
      </c>
      <c r="AS17" s="176">
        <v>-3383</v>
      </c>
      <c r="AT17" s="240"/>
      <c r="AU17" s="176">
        <v>-936</v>
      </c>
      <c r="AV17" s="176">
        <v>-815</v>
      </c>
      <c r="AW17" s="176">
        <v>-871</v>
      </c>
      <c r="AX17" s="176">
        <v>-1056</v>
      </c>
      <c r="AY17" s="176">
        <v>-3678</v>
      </c>
      <c r="AZ17" s="240"/>
      <c r="BA17" s="176">
        <v>-988</v>
      </c>
      <c r="BB17" s="176">
        <v>-796</v>
      </c>
      <c r="BC17" s="176">
        <v>-869</v>
      </c>
      <c r="BD17" s="176">
        <v>-1459</v>
      </c>
      <c r="BE17" s="176">
        <v>-4112</v>
      </c>
      <c r="BF17" s="176">
        <v>-1149</v>
      </c>
      <c r="BG17" s="176">
        <v>-1096</v>
      </c>
      <c r="BH17" s="176">
        <v>-1424</v>
      </c>
      <c r="BI17" s="176">
        <v>-1507</v>
      </c>
      <c r="BJ17" s="176">
        <v>-5176</v>
      </c>
      <c r="BK17" s="176">
        <v>-1265</v>
      </c>
      <c r="BL17" s="176">
        <v>-839</v>
      </c>
      <c r="BM17" s="176">
        <v>-1231</v>
      </c>
      <c r="BN17" s="176">
        <v>-1552</v>
      </c>
      <c r="BO17" s="176">
        <v>-4887</v>
      </c>
      <c r="BP17" s="176">
        <v>-1147</v>
      </c>
      <c r="BQ17" s="345">
        <v>-1047</v>
      </c>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row>
    <row r="18" spans="1:250" ht="12" customHeight="1">
      <c r="A18" s="518" t="s">
        <v>201</v>
      </c>
      <c r="B18" s="2"/>
      <c r="C18" s="177">
        <v>-322</v>
      </c>
      <c r="D18"/>
      <c r="E18" s="177">
        <v>-89</v>
      </c>
      <c r="F18" s="174">
        <v>-54</v>
      </c>
      <c r="G18" s="174">
        <v>-77</v>
      </c>
      <c r="H18" s="174">
        <v>-166</v>
      </c>
      <c r="I18" s="174">
        <v>-386</v>
      </c>
      <c r="J18"/>
      <c r="K18" s="177">
        <v>-92</v>
      </c>
      <c r="L18" s="174">
        <v>-14</v>
      </c>
      <c r="M18" s="174">
        <v>-57</v>
      </c>
      <c r="N18" s="174">
        <v>-56</v>
      </c>
      <c r="O18" s="174">
        <v>-219</v>
      </c>
      <c r="P18"/>
      <c r="Q18" s="177">
        <v>-53</v>
      </c>
      <c r="R18" s="174">
        <v>-44</v>
      </c>
      <c r="S18" s="174">
        <v>-64</v>
      </c>
      <c r="T18" s="174">
        <v>-108</v>
      </c>
      <c r="U18" s="174">
        <v>-269</v>
      </c>
      <c r="V18"/>
      <c r="W18" s="177">
        <v>-74</v>
      </c>
      <c r="X18" s="174">
        <v>-47</v>
      </c>
      <c r="Y18" s="174">
        <v>-53</v>
      </c>
      <c r="Z18" s="174">
        <v>-92</v>
      </c>
      <c r="AA18" s="174">
        <v>-266</v>
      </c>
      <c r="AB18"/>
      <c r="AC18" s="177">
        <v>-130</v>
      </c>
      <c r="AD18" s="217">
        <v>-58</v>
      </c>
      <c r="AE18" s="217">
        <v>-61</v>
      </c>
      <c r="AF18" s="174">
        <v>-111</v>
      </c>
      <c r="AG18" s="174">
        <v>-360</v>
      </c>
      <c r="AH18"/>
      <c r="AI18" s="177">
        <v>-140</v>
      </c>
      <c r="AJ18" s="217">
        <v>-52</v>
      </c>
      <c r="AK18" s="218">
        <v>-96</v>
      </c>
      <c r="AL18" s="174">
        <v>-109</v>
      </c>
      <c r="AM18" s="174">
        <v>-397</v>
      </c>
      <c r="AN18"/>
      <c r="AO18" s="206">
        <v>-136</v>
      </c>
      <c r="AP18" s="217">
        <v>-65</v>
      </c>
      <c r="AQ18" s="174">
        <v>-158</v>
      </c>
      <c r="AR18" s="174">
        <v>-148</v>
      </c>
      <c r="AS18" s="174">
        <v>-507</v>
      </c>
      <c r="AT18" s="240"/>
      <c r="AU18" s="174">
        <v>-148</v>
      </c>
      <c r="AV18" s="174">
        <v>-69</v>
      </c>
      <c r="AW18" s="174">
        <v>-117</v>
      </c>
      <c r="AX18" s="174">
        <v>-106</v>
      </c>
      <c r="AY18" s="174">
        <v>-440</v>
      </c>
      <c r="AZ18" s="240"/>
      <c r="BA18" s="174">
        <v>-157</v>
      </c>
      <c r="BB18" s="174">
        <v>-104</v>
      </c>
      <c r="BC18" s="174">
        <v>-125</v>
      </c>
      <c r="BD18" s="174">
        <v>-278</v>
      </c>
      <c r="BE18" s="174">
        <v>-664</v>
      </c>
      <c r="BF18" s="174">
        <v>-162</v>
      </c>
      <c r="BG18" s="174">
        <v>-90</v>
      </c>
      <c r="BH18" s="174">
        <v>-209</v>
      </c>
      <c r="BI18" s="174">
        <v>-218</v>
      </c>
      <c r="BJ18" s="174">
        <v>-679</v>
      </c>
      <c r="BK18" s="174">
        <v>-218</v>
      </c>
      <c r="BL18" s="174">
        <v>-116</v>
      </c>
      <c r="BM18" s="174">
        <v>-126</v>
      </c>
      <c r="BN18" s="174">
        <v>-172</v>
      </c>
      <c r="BO18" s="174">
        <v>-632</v>
      </c>
      <c r="BP18" s="174">
        <v>-271</v>
      </c>
      <c r="BQ18" s="340">
        <v>-137</v>
      </c>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row>
    <row r="19" spans="1:250" ht="12" customHeight="1">
      <c r="A19" s="518" t="s">
        <v>202</v>
      </c>
      <c r="B19" s="2"/>
      <c r="C19" s="177">
        <v>-1628</v>
      </c>
      <c r="D19"/>
      <c r="E19" s="177">
        <v>0</v>
      </c>
      <c r="F19" s="174">
        <v>0</v>
      </c>
      <c r="G19" s="174">
        <v>0</v>
      </c>
      <c r="H19" s="174">
        <v>0</v>
      </c>
      <c r="I19" s="174">
        <v>0</v>
      </c>
      <c r="J19"/>
      <c r="K19" s="177">
        <v>0</v>
      </c>
      <c r="L19" s="174">
        <v>0</v>
      </c>
      <c r="M19" s="174">
        <v>0</v>
      </c>
      <c r="N19" s="174">
        <v>0</v>
      </c>
      <c r="O19" s="174">
        <v>0</v>
      </c>
      <c r="P19"/>
      <c r="Q19" s="177">
        <v>0</v>
      </c>
      <c r="R19" s="174">
        <v>0</v>
      </c>
      <c r="S19" s="174">
        <v>0</v>
      </c>
      <c r="T19" s="174">
        <v>0</v>
      </c>
      <c r="U19" s="174">
        <v>0</v>
      </c>
      <c r="V19"/>
      <c r="W19" s="177">
        <v>0</v>
      </c>
      <c r="X19" s="174">
        <v>0</v>
      </c>
      <c r="Y19" s="174">
        <v>0</v>
      </c>
      <c r="Z19" s="174">
        <v>0</v>
      </c>
      <c r="AA19" s="174">
        <v>0</v>
      </c>
      <c r="AB19"/>
      <c r="AC19" s="177">
        <v>0</v>
      </c>
      <c r="AD19" s="217">
        <v>0</v>
      </c>
      <c r="AE19" s="217">
        <v>0</v>
      </c>
      <c r="AF19" s="174">
        <v>0</v>
      </c>
      <c r="AG19" s="174">
        <v>0</v>
      </c>
      <c r="AH19"/>
      <c r="AI19" s="177">
        <v>0</v>
      </c>
      <c r="AJ19" s="217">
        <v>0</v>
      </c>
      <c r="AK19" s="217">
        <v>0</v>
      </c>
      <c r="AL19" s="174">
        <v>0</v>
      </c>
      <c r="AM19" s="174">
        <v>0</v>
      </c>
      <c r="AN19"/>
      <c r="AO19" s="206">
        <v>0</v>
      </c>
      <c r="AP19" s="217">
        <v>0</v>
      </c>
      <c r="AQ19" s="174">
        <v>0</v>
      </c>
      <c r="AR19" s="174">
        <v>0</v>
      </c>
      <c r="AS19" s="174">
        <v>0</v>
      </c>
      <c r="AT19" s="240"/>
      <c r="AU19" s="174">
        <v>0</v>
      </c>
      <c r="AV19" s="174">
        <v>0</v>
      </c>
      <c r="AW19" s="174">
        <v>0</v>
      </c>
      <c r="AX19" s="174">
        <v>0</v>
      </c>
      <c r="AY19" s="174">
        <v>0</v>
      </c>
      <c r="AZ19" s="240"/>
      <c r="BA19" s="174">
        <v>0</v>
      </c>
      <c r="BB19" s="174">
        <v>0</v>
      </c>
      <c r="BC19" s="174">
        <v>0</v>
      </c>
      <c r="BD19" s="174">
        <v>0</v>
      </c>
      <c r="BE19" s="174">
        <v>0</v>
      </c>
      <c r="BF19" s="174">
        <v>0</v>
      </c>
      <c r="BG19" s="174">
        <v>0</v>
      </c>
      <c r="BH19" s="174">
        <v>0</v>
      </c>
      <c r="BI19" s="174">
        <v>0</v>
      </c>
      <c r="BJ19" s="174">
        <v>0</v>
      </c>
      <c r="BK19" s="174"/>
      <c r="BL19" s="174">
        <v>0</v>
      </c>
      <c r="BM19" s="174">
        <v>0</v>
      </c>
      <c r="BN19" s="174">
        <v>0</v>
      </c>
      <c r="BO19" s="174">
        <v>0</v>
      </c>
      <c r="BP19" s="174">
        <v>0</v>
      </c>
      <c r="BQ19" s="340">
        <v>0</v>
      </c>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row>
    <row r="20" spans="1:250" ht="12.75" customHeight="1">
      <c r="A20" s="518" t="s">
        <v>203</v>
      </c>
      <c r="B20" s="2"/>
      <c r="C20" s="177">
        <v>-502</v>
      </c>
      <c r="D20"/>
      <c r="E20" s="177">
        <v>-206</v>
      </c>
      <c r="F20" s="174">
        <v>-163</v>
      </c>
      <c r="G20" s="174">
        <v>-239</v>
      </c>
      <c r="H20" s="174">
        <v>-320</v>
      </c>
      <c r="I20" s="174">
        <v>-928</v>
      </c>
      <c r="J20"/>
      <c r="K20" s="177">
        <v>-173</v>
      </c>
      <c r="L20" s="174">
        <v>-65</v>
      </c>
      <c r="M20" s="174">
        <v>-97</v>
      </c>
      <c r="N20" s="174">
        <v>-336</v>
      </c>
      <c r="O20" s="174">
        <v>-671</v>
      </c>
      <c r="P20"/>
      <c r="Q20" s="177">
        <v>0</v>
      </c>
      <c r="R20" s="174">
        <v>-206</v>
      </c>
      <c r="S20" s="174">
        <v>0</v>
      </c>
      <c r="T20" s="174">
        <v>-255</v>
      </c>
      <c r="U20" s="174">
        <v>-461</v>
      </c>
      <c r="V20"/>
      <c r="W20" s="177">
        <v>0</v>
      </c>
      <c r="X20" s="174">
        <v>-262</v>
      </c>
      <c r="Y20" s="174">
        <v>0</v>
      </c>
      <c r="Z20" s="174">
        <v>-404</v>
      </c>
      <c r="AA20" s="174">
        <v>-666</v>
      </c>
      <c r="AB20"/>
      <c r="AC20" s="177">
        <v>0</v>
      </c>
      <c r="AD20" s="217">
        <v>-63</v>
      </c>
      <c r="AE20" s="217">
        <v>-109</v>
      </c>
      <c r="AF20" s="174">
        <v>-267</v>
      </c>
      <c r="AG20" s="174">
        <v>-439</v>
      </c>
      <c r="AH20"/>
      <c r="AI20" s="177">
        <v>0</v>
      </c>
      <c r="AJ20" s="217">
        <v>-207</v>
      </c>
      <c r="AK20" s="217">
        <v>0</v>
      </c>
      <c r="AL20" s="174">
        <v>0</v>
      </c>
      <c r="AM20" s="174">
        <v>-207</v>
      </c>
      <c r="AN20"/>
      <c r="AO20" s="206">
        <v>0</v>
      </c>
      <c r="AP20" s="217">
        <v>0</v>
      </c>
      <c r="AQ20" s="174">
        <v>0</v>
      </c>
      <c r="AR20" s="174">
        <v>0</v>
      </c>
      <c r="AS20" s="174">
        <v>0</v>
      </c>
      <c r="AT20" s="240"/>
      <c r="AU20" s="174">
        <v>0</v>
      </c>
      <c r="AV20" s="174">
        <v>0</v>
      </c>
      <c r="AW20" s="174">
        <v>0</v>
      </c>
      <c r="AX20" s="174">
        <v>0</v>
      </c>
      <c r="AY20" s="174">
        <v>0</v>
      </c>
      <c r="AZ20" s="240"/>
      <c r="BA20" s="174">
        <v>0</v>
      </c>
      <c r="BB20" s="174">
        <v>0</v>
      </c>
      <c r="BC20" s="174">
        <v>0</v>
      </c>
      <c r="BD20" s="174">
        <v>0</v>
      </c>
      <c r="BE20" s="174">
        <v>0</v>
      </c>
      <c r="BF20" s="174">
        <v>0</v>
      </c>
      <c r="BG20" s="174">
        <v>0</v>
      </c>
      <c r="BH20" s="174">
        <v>0</v>
      </c>
      <c r="BI20" s="174">
        <v>0</v>
      </c>
      <c r="BJ20" s="174">
        <v>0</v>
      </c>
      <c r="BK20" s="174"/>
      <c r="BL20" s="174">
        <v>0</v>
      </c>
      <c r="BM20" s="174">
        <v>0</v>
      </c>
      <c r="BN20" s="174">
        <v>0</v>
      </c>
      <c r="BO20" s="174">
        <v>0</v>
      </c>
      <c r="BP20" s="174">
        <v>0</v>
      </c>
      <c r="BQ20" s="340">
        <v>0</v>
      </c>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row>
    <row r="21" spans="1:250" ht="12.75" customHeight="1">
      <c r="A21" s="518" t="s">
        <v>204</v>
      </c>
      <c r="B21" s="2"/>
      <c r="C21" s="177">
        <v>0</v>
      </c>
      <c r="D21"/>
      <c r="E21" s="177">
        <v>0</v>
      </c>
      <c r="F21" s="174">
        <v>0</v>
      </c>
      <c r="G21" s="174">
        <v>0</v>
      </c>
      <c r="H21" s="174">
        <v>0</v>
      </c>
      <c r="I21" s="174">
        <v>0</v>
      </c>
      <c r="J21"/>
      <c r="K21" s="177">
        <v>0</v>
      </c>
      <c r="L21" s="174">
        <v>0</v>
      </c>
      <c r="M21" s="174">
        <v>0</v>
      </c>
      <c r="N21" s="174">
        <v>0</v>
      </c>
      <c r="O21" s="174">
        <v>0</v>
      </c>
      <c r="P21"/>
      <c r="Q21" s="177">
        <v>0</v>
      </c>
      <c r="R21" s="174">
        <v>0</v>
      </c>
      <c r="S21" s="174">
        <v>0</v>
      </c>
      <c r="T21" s="174">
        <v>0</v>
      </c>
      <c r="U21" s="174">
        <v>0</v>
      </c>
      <c r="V21"/>
      <c r="W21" s="177">
        <v>0</v>
      </c>
      <c r="X21" s="174">
        <v>0</v>
      </c>
      <c r="Y21" s="174">
        <v>0</v>
      </c>
      <c r="Z21" s="174">
        <v>0</v>
      </c>
      <c r="AA21" s="174">
        <v>0</v>
      </c>
      <c r="AB21"/>
      <c r="AC21" s="177">
        <v>0</v>
      </c>
      <c r="AD21" s="217">
        <v>0</v>
      </c>
      <c r="AE21" s="217">
        <v>0</v>
      </c>
      <c r="AF21" s="174">
        <v>0</v>
      </c>
      <c r="AG21" s="174">
        <v>0</v>
      </c>
      <c r="AH21"/>
      <c r="AI21" s="177">
        <v>0</v>
      </c>
      <c r="AJ21" s="217">
        <v>0</v>
      </c>
      <c r="AK21" s="217">
        <v>0</v>
      </c>
      <c r="AL21" s="174">
        <v>0</v>
      </c>
      <c r="AM21" s="174">
        <v>0</v>
      </c>
      <c r="AN21"/>
      <c r="AO21" s="206">
        <v>0</v>
      </c>
      <c r="AP21" s="217">
        <v>0</v>
      </c>
      <c r="AQ21" s="174">
        <v>0</v>
      </c>
      <c r="AR21" s="174">
        <v>1259</v>
      </c>
      <c r="AS21" s="174">
        <v>1259</v>
      </c>
      <c r="AT21" s="240"/>
      <c r="AU21" s="174">
        <v>431</v>
      </c>
      <c r="AV21" s="174">
        <v>358</v>
      </c>
      <c r="AW21" s="174">
        <v>0</v>
      </c>
      <c r="AX21" s="174">
        <v>0</v>
      </c>
      <c r="AY21" s="174">
        <v>789</v>
      </c>
      <c r="AZ21" s="240"/>
      <c r="BA21" s="174">
        <v>0</v>
      </c>
      <c r="BB21" s="174">
        <v>68</v>
      </c>
      <c r="BC21" s="217">
        <f>135+28-68</f>
        <v>95</v>
      </c>
      <c r="BD21" s="217">
        <v>0</v>
      </c>
      <c r="BE21" s="217">
        <v>163</v>
      </c>
      <c r="BF21" s="174">
        <v>0</v>
      </c>
      <c r="BG21" s="174">
        <v>44</v>
      </c>
      <c r="BH21" s="174">
        <v>149</v>
      </c>
      <c r="BI21" s="174">
        <v>271</v>
      </c>
      <c r="BJ21" s="174">
        <v>464</v>
      </c>
      <c r="BK21" s="174">
        <v>170</v>
      </c>
      <c r="BL21" s="174">
        <v>244</v>
      </c>
      <c r="BM21" s="174">
        <v>358</v>
      </c>
      <c r="BN21" s="174">
        <v>434</v>
      </c>
      <c r="BO21" s="174">
        <v>1206</v>
      </c>
      <c r="BP21" s="174">
        <v>615</v>
      </c>
      <c r="BQ21" s="340">
        <v>393</v>
      </c>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row>
    <row r="22" spans="1:250" ht="12" customHeight="1">
      <c r="A22" s="518" t="s">
        <v>205</v>
      </c>
      <c r="B22" s="2"/>
      <c r="C22" s="177">
        <v>20</v>
      </c>
      <c r="D22" s="15">
        <v>-61</v>
      </c>
      <c r="E22" s="177">
        <v>-15</v>
      </c>
      <c r="F22" s="174">
        <v>-43</v>
      </c>
      <c r="G22" s="174">
        <v>10</v>
      </c>
      <c r="H22" s="174">
        <v>9</v>
      </c>
      <c r="I22" s="174">
        <v>-39</v>
      </c>
      <c r="J22"/>
      <c r="K22" s="177">
        <v>-35</v>
      </c>
      <c r="L22" s="174">
        <v>8</v>
      </c>
      <c r="M22" s="174">
        <v>-13</v>
      </c>
      <c r="N22" s="174">
        <v>14</v>
      </c>
      <c r="O22" s="174">
        <v>-26</v>
      </c>
      <c r="P22"/>
      <c r="Q22" s="177">
        <v>-35</v>
      </c>
      <c r="R22" s="174">
        <v>2</v>
      </c>
      <c r="S22" s="174">
        <v>-33</v>
      </c>
      <c r="T22" s="174">
        <v>-17</v>
      </c>
      <c r="U22" s="174">
        <v>-83</v>
      </c>
      <c r="V22"/>
      <c r="W22" s="177">
        <v>-3</v>
      </c>
      <c r="X22" s="174">
        <v>26</v>
      </c>
      <c r="Y22" s="174">
        <v>-14</v>
      </c>
      <c r="Z22" s="174">
        <v>-7</v>
      </c>
      <c r="AA22" s="174">
        <v>2</v>
      </c>
      <c r="AB22"/>
      <c r="AC22" s="177">
        <v>-22</v>
      </c>
      <c r="AD22" s="217">
        <v>-7</v>
      </c>
      <c r="AE22" s="217">
        <v>-3</v>
      </c>
      <c r="AF22" s="174">
        <v>60</v>
      </c>
      <c r="AG22" s="174">
        <v>28</v>
      </c>
      <c r="AH22"/>
      <c r="AI22" s="177">
        <v>-20</v>
      </c>
      <c r="AJ22" s="217">
        <v>-17</v>
      </c>
      <c r="AK22" s="217">
        <v>56</v>
      </c>
      <c r="AL22" s="174">
        <v>-16</v>
      </c>
      <c r="AM22" s="174">
        <v>3</v>
      </c>
      <c r="AN22"/>
      <c r="AO22" s="206">
        <v>100</v>
      </c>
      <c r="AP22" s="217">
        <v>-4</v>
      </c>
      <c r="AQ22" s="174">
        <v>1</v>
      </c>
      <c r="AR22" s="174">
        <f>1267-1259</f>
        <v>8</v>
      </c>
      <c r="AS22" s="174">
        <f>1364-1259</f>
        <v>105</v>
      </c>
      <c r="AT22" s="240"/>
      <c r="AU22" s="174">
        <f>889-431</f>
        <v>458</v>
      </c>
      <c r="AV22" s="174">
        <v>111</v>
      </c>
      <c r="AW22" s="174">
        <v>65</v>
      </c>
      <c r="AX22" s="174">
        <v>0</v>
      </c>
      <c r="AY22" s="174">
        <v>634</v>
      </c>
      <c r="AZ22" s="240"/>
      <c r="BA22" s="174">
        <v>-18</v>
      </c>
      <c r="BB22" s="174">
        <v>8</v>
      </c>
      <c r="BC22" s="217">
        <f>-218+68</f>
        <v>-150</v>
      </c>
      <c r="BD22" s="217">
        <v>-25</v>
      </c>
      <c r="BE22" s="217">
        <v>-185</v>
      </c>
      <c r="BF22" s="174">
        <v>-107</v>
      </c>
      <c r="BG22" s="174">
        <v>-16</v>
      </c>
      <c r="BH22" s="174">
        <v>12</v>
      </c>
      <c r="BI22" s="174">
        <v>-4</v>
      </c>
      <c r="BJ22" s="174">
        <v>-115</v>
      </c>
      <c r="BK22" s="174">
        <v>-6</v>
      </c>
      <c r="BL22" s="174">
        <v>-4</v>
      </c>
      <c r="BM22" s="174">
        <v>2</v>
      </c>
      <c r="BN22" s="174">
        <v>0</v>
      </c>
      <c r="BO22" s="174">
        <v>-8</v>
      </c>
      <c r="BP22" s="174">
        <v>-24</v>
      </c>
      <c r="BQ22" s="340">
        <v>0</v>
      </c>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row>
    <row r="23" spans="1:250" ht="12" customHeight="1">
      <c r="A23" s="520" t="s">
        <v>206</v>
      </c>
      <c r="B23" s="171"/>
      <c r="C23" s="175">
        <v>-5544</v>
      </c>
      <c r="D23"/>
      <c r="E23" s="175">
        <v>-1111</v>
      </c>
      <c r="F23" s="173">
        <v>-1063</v>
      </c>
      <c r="G23" s="173">
        <v>-1203</v>
      </c>
      <c r="H23" s="173">
        <v>-1529</v>
      </c>
      <c r="I23" s="173">
        <v>-4906</v>
      </c>
      <c r="J23"/>
      <c r="K23" s="175">
        <v>-1178</v>
      </c>
      <c r="L23" s="173">
        <v>-873</v>
      </c>
      <c r="M23" s="173">
        <v>-807</v>
      </c>
      <c r="N23" s="173">
        <v>-1090</v>
      </c>
      <c r="O23" s="173">
        <v>-3948</v>
      </c>
      <c r="P23"/>
      <c r="Q23" s="175">
        <v>-650</v>
      </c>
      <c r="R23" s="173">
        <v>-797</v>
      </c>
      <c r="S23" s="173">
        <v>-629</v>
      </c>
      <c r="T23" s="173">
        <v>-1264</v>
      </c>
      <c r="U23" s="173">
        <v>-3340</v>
      </c>
      <c r="V23"/>
      <c r="W23" s="175">
        <v>-678</v>
      </c>
      <c r="X23" s="173">
        <v>-835</v>
      </c>
      <c r="Y23" s="173">
        <v>-658</v>
      </c>
      <c r="Z23" s="173">
        <v>-1368</v>
      </c>
      <c r="AA23" s="173">
        <v>-3539</v>
      </c>
      <c r="AB23"/>
      <c r="AC23" s="175">
        <v>-877</v>
      </c>
      <c r="AD23" s="191">
        <v>-819</v>
      </c>
      <c r="AE23" s="191">
        <v>-822</v>
      </c>
      <c r="AF23" s="173">
        <v>-1125</v>
      </c>
      <c r="AG23" s="173">
        <v>-3643</v>
      </c>
      <c r="AH23"/>
      <c r="AI23" s="175">
        <v>-983</v>
      </c>
      <c r="AJ23" s="191">
        <v>-842</v>
      </c>
      <c r="AK23" s="191">
        <v>-850</v>
      </c>
      <c r="AL23" s="173">
        <v>-986</v>
      </c>
      <c r="AM23" s="173">
        <v>-3661</v>
      </c>
      <c r="AN23"/>
      <c r="AO23" s="207">
        <v>-714</v>
      </c>
      <c r="AP23" s="191">
        <v>-853</v>
      </c>
      <c r="AQ23" s="173">
        <v>-939</v>
      </c>
      <c r="AR23" s="173">
        <v>-20</v>
      </c>
      <c r="AS23" s="173">
        <v>-2526</v>
      </c>
      <c r="AT23" s="240"/>
      <c r="AU23" s="173">
        <v>-195</v>
      </c>
      <c r="AV23" s="173">
        <v>-415</v>
      </c>
      <c r="AW23" s="173">
        <v>-923</v>
      </c>
      <c r="AX23" s="173">
        <v>-1162</v>
      </c>
      <c r="AY23" s="173">
        <v>-2695</v>
      </c>
      <c r="AZ23" s="240"/>
      <c r="BA23" s="173">
        <f t="shared" ref="BA23:BG23" si="3">BA17+BA18+BA19+BA20+BA21+BA22</f>
        <v>-1163</v>
      </c>
      <c r="BB23" s="173">
        <f t="shared" si="3"/>
        <v>-824</v>
      </c>
      <c r="BC23" s="173">
        <f t="shared" si="3"/>
        <v>-1049</v>
      </c>
      <c r="BD23" s="173">
        <f t="shared" si="3"/>
        <v>-1762</v>
      </c>
      <c r="BE23" s="173">
        <f t="shared" si="3"/>
        <v>-4798</v>
      </c>
      <c r="BF23" s="173">
        <f t="shared" si="3"/>
        <v>-1418</v>
      </c>
      <c r="BG23" s="173">
        <f t="shared" si="3"/>
        <v>-1158</v>
      </c>
      <c r="BH23" s="173">
        <f t="shared" ref="BH23:BQ23" si="4">SUM(BH17:BH22)</f>
        <v>-1472</v>
      </c>
      <c r="BI23" s="173">
        <f t="shared" si="4"/>
        <v>-1458</v>
      </c>
      <c r="BJ23" s="173">
        <f t="shared" si="4"/>
        <v>-5506</v>
      </c>
      <c r="BK23" s="173">
        <f t="shared" si="4"/>
        <v>-1319</v>
      </c>
      <c r="BL23" s="173">
        <f t="shared" si="4"/>
        <v>-715</v>
      </c>
      <c r="BM23" s="173">
        <f t="shared" si="4"/>
        <v>-997</v>
      </c>
      <c r="BN23" s="173">
        <f t="shared" si="4"/>
        <v>-1290</v>
      </c>
      <c r="BO23" s="173">
        <f t="shared" si="4"/>
        <v>-4321</v>
      </c>
      <c r="BP23" s="173">
        <f t="shared" si="4"/>
        <v>-827</v>
      </c>
      <c r="BQ23" s="464">
        <f t="shared" si="4"/>
        <v>-791</v>
      </c>
      <c r="BR23" s="321"/>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row>
    <row r="24" spans="1:250" ht="9" hidden="1" customHeight="1">
      <c r="A24" s="1"/>
      <c r="B24" s="1"/>
      <c r="C24" s="179"/>
      <c r="E24" s="179"/>
      <c r="F24" s="178"/>
      <c r="G24" s="178"/>
      <c r="H24" s="178"/>
      <c r="I24" s="178"/>
      <c r="K24" s="179"/>
      <c r="L24" s="178"/>
      <c r="M24" s="178"/>
      <c r="N24" s="178"/>
      <c r="O24" s="178"/>
      <c r="Q24" s="179"/>
      <c r="R24" s="178"/>
      <c r="S24" s="178"/>
      <c r="T24" s="178"/>
      <c r="U24" s="178"/>
      <c r="W24" s="179"/>
      <c r="X24" s="178"/>
      <c r="Y24" s="178"/>
      <c r="Z24" s="178"/>
      <c r="AA24" s="178"/>
      <c r="AC24" s="179"/>
      <c r="AD24" s="189"/>
      <c r="AE24" s="196"/>
      <c r="AF24" s="178"/>
      <c r="AG24" s="178"/>
      <c r="AI24" s="179"/>
      <c r="AJ24" s="196"/>
      <c r="AK24" s="196"/>
      <c r="AL24" s="178"/>
      <c r="AM24" s="178"/>
      <c r="AN24" s="200"/>
      <c r="AO24" s="219"/>
      <c r="AP24" s="194"/>
      <c r="AQ24" s="178"/>
      <c r="AR24" s="178"/>
      <c r="AS24" s="178"/>
      <c r="AT24" s="241"/>
      <c r="AU24" s="178"/>
      <c r="AV24" s="178"/>
      <c r="AW24" s="178"/>
      <c r="AX24" s="178"/>
      <c r="AY24" s="178"/>
      <c r="AZ24" s="241"/>
      <c r="BA24" s="178"/>
      <c r="BB24" s="178"/>
      <c r="BC24" s="178"/>
      <c r="BD24" s="178"/>
      <c r="BE24" s="178"/>
      <c r="BF24" s="178"/>
      <c r="BG24" s="178"/>
      <c r="BH24" s="178"/>
      <c r="BI24" s="178"/>
      <c r="BJ24" s="178"/>
      <c r="BK24" s="178"/>
      <c r="BL24" s="178"/>
      <c r="BM24" s="178"/>
      <c r="BN24" s="178"/>
      <c r="BO24" s="178"/>
      <c r="BP24" s="178"/>
      <c r="BQ24" s="346"/>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row>
    <row r="25" spans="1:250" ht="14.25" customHeight="1">
      <c r="A25" s="518" t="s">
        <v>207</v>
      </c>
      <c r="B25" s="2"/>
      <c r="C25" s="180">
        <v>2641</v>
      </c>
      <c r="D25"/>
      <c r="E25" s="180">
        <v>1147</v>
      </c>
      <c r="F25" s="176">
        <v>2264</v>
      </c>
      <c r="G25" s="176">
        <v>670</v>
      </c>
      <c r="H25" s="176">
        <v>907</v>
      </c>
      <c r="I25" s="176">
        <v>4988</v>
      </c>
      <c r="J25"/>
      <c r="K25" s="180">
        <v>1048</v>
      </c>
      <c r="L25" s="176">
        <v>932</v>
      </c>
      <c r="M25" s="176">
        <v>916</v>
      </c>
      <c r="N25" s="176">
        <v>370</v>
      </c>
      <c r="O25" s="176">
        <v>3266</v>
      </c>
      <c r="P25"/>
      <c r="Q25" s="180">
        <v>762</v>
      </c>
      <c r="R25" s="176">
        <v>685</v>
      </c>
      <c r="S25" s="176">
        <v>198</v>
      </c>
      <c r="T25" s="176">
        <v>797</v>
      </c>
      <c r="U25" s="176">
        <v>2442</v>
      </c>
      <c r="V25"/>
      <c r="W25" s="180">
        <v>1131</v>
      </c>
      <c r="X25" s="176">
        <v>934</v>
      </c>
      <c r="Y25" s="176">
        <v>0</v>
      </c>
      <c r="Z25" s="176">
        <v>211</v>
      </c>
      <c r="AA25" s="176">
        <v>2276</v>
      </c>
      <c r="AB25"/>
      <c r="AC25" s="180">
        <v>3145</v>
      </c>
      <c r="AD25" s="218">
        <v>280</v>
      </c>
      <c r="AE25" s="218">
        <v>977</v>
      </c>
      <c r="AF25" s="176">
        <v>328</v>
      </c>
      <c r="AG25" s="176">
        <v>4730</v>
      </c>
      <c r="AH25"/>
      <c r="AI25" s="180">
        <v>1740</v>
      </c>
      <c r="AJ25" s="217">
        <v>2417</v>
      </c>
      <c r="AK25" s="218">
        <v>24</v>
      </c>
      <c r="AL25" s="176">
        <v>66</v>
      </c>
      <c r="AM25" s="176">
        <v>4247</v>
      </c>
      <c r="AN25"/>
      <c r="AO25" s="206">
        <v>24</v>
      </c>
      <c r="AP25" s="217">
        <v>31</v>
      </c>
      <c r="AQ25" s="176">
        <v>19</v>
      </c>
      <c r="AR25" s="176">
        <v>284</v>
      </c>
      <c r="AS25" s="176">
        <v>358</v>
      </c>
      <c r="AT25" s="240"/>
      <c r="AU25" s="176">
        <v>44</v>
      </c>
      <c r="AV25" s="176">
        <v>6</v>
      </c>
      <c r="AW25" s="176">
        <v>624</v>
      </c>
      <c r="AX25" s="176">
        <v>3</v>
      </c>
      <c r="AY25" s="176">
        <v>677</v>
      </c>
      <c r="AZ25" s="240"/>
      <c r="BA25" s="176">
        <v>1385</v>
      </c>
      <c r="BB25" s="176">
        <v>0</v>
      </c>
      <c r="BC25" s="176">
        <v>275</v>
      </c>
      <c r="BD25" s="176">
        <v>13</v>
      </c>
      <c r="BE25" s="176">
        <v>1673</v>
      </c>
      <c r="BF25" s="176">
        <v>835</v>
      </c>
      <c r="BG25" s="176">
        <v>578</v>
      </c>
      <c r="BH25" s="176">
        <v>521</v>
      </c>
      <c r="BI25" s="176">
        <v>6</v>
      </c>
      <c r="BJ25" s="176">
        <v>1940</v>
      </c>
      <c r="BK25" s="176">
        <v>229</v>
      </c>
      <c r="BL25" s="176">
        <v>205</v>
      </c>
      <c r="BM25" s="176">
        <v>326</v>
      </c>
      <c r="BN25" s="176">
        <v>197</v>
      </c>
      <c r="BO25" s="176">
        <v>957</v>
      </c>
      <c r="BP25" s="176">
        <v>877</v>
      </c>
      <c r="BQ25" s="345">
        <v>372</v>
      </c>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row>
    <row r="26" spans="1:250" ht="12" customHeight="1">
      <c r="A26" s="521" t="s">
        <v>208</v>
      </c>
      <c r="B26" s="2"/>
      <c r="C26" s="180">
        <v>0</v>
      </c>
      <c r="D26"/>
      <c r="E26" s="180">
        <v>0</v>
      </c>
      <c r="F26" s="176">
        <v>0</v>
      </c>
      <c r="G26" s="176">
        <v>0</v>
      </c>
      <c r="H26" s="176">
        <v>0</v>
      </c>
      <c r="I26" s="176">
        <v>0</v>
      </c>
      <c r="J26"/>
      <c r="K26" s="180">
        <v>0</v>
      </c>
      <c r="L26" s="176">
        <v>0</v>
      </c>
      <c r="M26" s="176">
        <v>0</v>
      </c>
      <c r="N26" s="176">
        <v>0</v>
      </c>
      <c r="O26" s="176">
        <v>0</v>
      </c>
      <c r="P26"/>
      <c r="Q26" s="180">
        <v>0</v>
      </c>
      <c r="R26" s="176">
        <v>0</v>
      </c>
      <c r="S26" s="176">
        <v>0</v>
      </c>
      <c r="T26" s="176">
        <v>0</v>
      </c>
      <c r="U26" s="176">
        <v>0</v>
      </c>
      <c r="V26"/>
      <c r="W26" s="180">
        <v>0</v>
      </c>
      <c r="X26" s="176">
        <v>0</v>
      </c>
      <c r="Y26" s="176">
        <v>0</v>
      </c>
      <c r="Z26" s="176">
        <v>0</v>
      </c>
      <c r="AA26" s="176">
        <v>0</v>
      </c>
      <c r="AB26"/>
      <c r="AC26" s="180">
        <v>0</v>
      </c>
      <c r="AD26" s="218">
        <v>2000</v>
      </c>
      <c r="AE26" s="218">
        <v>0</v>
      </c>
      <c r="AF26" s="176">
        <v>0</v>
      </c>
      <c r="AG26" s="176">
        <v>2000</v>
      </c>
      <c r="AH26"/>
      <c r="AI26" s="180">
        <v>0</v>
      </c>
      <c r="AJ26" s="217">
        <v>0</v>
      </c>
      <c r="AK26" s="218">
        <v>0</v>
      </c>
      <c r="AL26" s="176">
        <v>0</v>
      </c>
      <c r="AM26" s="176">
        <v>0</v>
      </c>
      <c r="AN26"/>
      <c r="AO26" s="206">
        <v>0</v>
      </c>
      <c r="AP26" s="217">
        <v>0</v>
      </c>
      <c r="AQ26" s="176">
        <v>0</v>
      </c>
      <c r="AR26" s="176">
        <v>0</v>
      </c>
      <c r="AS26" s="176">
        <v>0</v>
      </c>
      <c r="AT26" s="240"/>
      <c r="AU26" s="176">
        <v>0</v>
      </c>
      <c r="AV26" s="176">
        <v>0</v>
      </c>
      <c r="AW26" s="176">
        <v>0</v>
      </c>
      <c r="AX26" s="176">
        <v>0</v>
      </c>
      <c r="AY26" s="176">
        <v>0</v>
      </c>
      <c r="AZ26" s="240"/>
      <c r="BA26" s="176">
        <v>0</v>
      </c>
      <c r="BB26" s="176">
        <v>0</v>
      </c>
      <c r="BC26" s="176"/>
      <c r="BD26" s="176">
        <v>0</v>
      </c>
      <c r="BE26" s="176">
        <v>0</v>
      </c>
      <c r="BF26" s="176">
        <v>0</v>
      </c>
      <c r="BG26" s="176">
        <v>1000</v>
      </c>
      <c r="BH26" s="176">
        <v>0</v>
      </c>
      <c r="BI26" s="176">
        <v>0</v>
      </c>
      <c r="BJ26" s="176">
        <v>1000</v>
      </c>
      <c r="BK26" s="176">
        <v>0</v>
      </c>
      <c r="BL26" s="176">
        <v>0</v>
      </c>
      <c r="BM26" s="176">
        <v>0</v>
      </c>
      <c r="BN26" s="176">
        <v>1599</v>
      </c>
      <c r="BO26" s="176">
        <v>1599</v>
      </c>
      <c r="BP26" s="176">
        <v>0</v>
      </c>
      <c r="BQ26" s="345">
        <v>0</v>
      </c>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row>
    <row r="27" spans="1:250" ht="12" customHeight="1">
      <c r="A27" s="521" t="s">
        <v>209</v>
      </c>
      <c r="B27" s="2"/>
      <c r="C27" s="180">
        <v>0</v>
      </c>
      <c r="D27">
        <v>0</v>
      </c>
      <c r="E27" s="180">
        <v>0</v>
      </c>
      <c r="F27" s="176">
        <v>0</v>
      </c>
      <c r="G27" s="176">
        <v>0</v>
      </c>
      <c r="H27" s="176">
        <v>0</v>
      </c>
      <c r="I27" s="176">
        <v>0</v>
      </c>
      <c r="J27"/>
      <c r="K27" s="180">
        <v>0</v>
      </c>
      <c r="L27" s="176">
        <v>0</v>
      </c>
      <c r="M27" s="176">
        <v>0</v>
      </c>
      <c r="N27" s="176">
        <v>0</v>
      </c>
      <c r="O27" s="176">
        <v>0</v>
      </c>
      <c r="P27"/>
      <c r="Q27" s="180">
        <v>0</v>
      </c>
      <c r="R27" s="176">
        <v>0</v>
      </c>
      <c r="S27" s="176">
        <v>0</v>
      </c>
      <c r="T27" s="176">
        <v>0</v>
      </c>
      <c r="U27" s="176">
        <v>0</v>
      </c>
      <c r="V27"/>
      <c r="W27" s="180">
        <v>0</v>
      </c>
      <c r="X27" s="176">
        <v>0</v>
      </c>
      <c r="Y27" s="176">
        <v>0</v>
      </c>
      <c r="Z27" s="176">
        <v>0</v>
      </c>
      <c r="AA27" s="176">
        <v>0</v>
      </c>
      <c r="AB27"/>
      <c r="AC27" s="180">
        <v>0</v>
      </c>
      <c r="AD27" s="218">
        <v>0</v>
      </c>
      <c r="AE27" s="218">
        <v>0</v>
      </c>
      <c r="AF27" s="176">
        <v>0</v>
      </c>
      <c r="AG27" s="176">
        <v>0</v>
      </c>
      <c r="AH27"/>
      <c r="AI27" s="180">
        <v>0</v>
      </c>
      <c r="AJ27" s="217">
        <v>0</v>
      </c>
      <c r="AK27" s="218">
        <v>0</v>
      </c>
      <c r="AL27" s="176">
        <v>0</v>
      </c>
      <c r="AM27" s="176">
        <v>0</v>
      </c>
      <c r="AN27"/>
      <c r="AO27" s="206">
        <v>0</v>
      </c>
      <c r="AP27" s="217">
        <v>0</v>
      </c>
      <c r="AQ27" s="176">
        <v>0</v>
      </c>
      <c r="AR27" s="176">
        <v>0</v>
      </c>
      <c r="AS27" s="176">
        <v>0</v>
      </c>
      <c r="AT27" s="240"/>
      <c r="AU27" s="176">
        <v>0</v>
      </c>
      <c r="AV27" s="176">
        <v>0</v>
      </c>
      <c r="AW27" s="176">
        <v>0</v>
      </c>
      <c r="AX27" s="176">
        <v>0</v>
      </c>
      <c r="AY27" s="176">
        <v>0</v>
      </c>
      <c r="AZ27" s="240"/>
      <c r="BA27" s="176">
        <v>0</v>
      </c>
      <c r="BB27" s="176">
        <v>0</v>
      </c>
      <c r="BC27" s="176">
        <v>0</v>
      </c>
      <c r="BD27" s="176">
        <v>0</v>
      </c>
      <c r="BE27" s="176">
        <v>0</v>
      </c>
      <c r="BF27" s="176">
        <v>0</v>
      </c>
      <c r="BG27" s="176">
        <v>-400</v>
      </c>
      <c r="BH27" s="176">
        <v>0</v>
      </c>
      <c r="BI27" s="176">
        <v>0</v>
      </c>
      <c r="BJ27" s="176">
        <v>-400</v>
      </c>
      <c r="BK27" s="176">
        <v>0</v>
      </c>
      <c r="BL27" s="176">
        <v>0</v>
      </c>
      <c r="BM27" s="176">
        <v>0</v>
      </c>
      <c r="BN27" s="176">
        <v>-1599</v>
      </c>
      <c r="BO27" s="176">
        <v>-1599</v>
      </c>
      <c r="BP27" s="176">
        <v>0</v>
      </c>
      <c r="BQ27" s="345">
        <v>0</v>
      </c>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row>
    <row r="28" spans="1:250" ht="12" customHeight="1">
      <c r="A28" s="518" t="s">
        <v>210</v>
      </c>
      <c r="B28" s="2"/>
      <c r="C28" s="177">
        <v>-1240</v>
      </c>
      <c r="D28"/>
      <c r="E28" s="177">
        <v>-760</v>
      </c>
      <c r="F28" s="174">
        <v>-1876</v>
      </c>
      <c r="G28" s="174">
        <v>-254</v>
      </c>
      <c r="H28" s="174">
        <v>-206</v>
      </c>
      <c r="I28" s="174">
        <v>-3096</v>
      </c>
      <c r="J28"/>
      <c r="K28" s="177">
        <v>-335</v>
      </c>
      <c r="L28" s="174">
        <v>-661</v>
      </c>
      <c r="M28" s="174">
        <v>-825</v>
      </c>
      <c r="N28" s="174">
        <v>-880</v>
      </c>
      <c r="O28" s="174">
        <v>-2701</v>
      </c>
      <c r="P28"/>
      <c r="Q28" s="177">
        <v>-746</v>
      </c>
      <c r="R28" s="174">
        <v>-786</v>
      </c>
      <c r="S28" s="174">
        <v>-6</v>
      </c>
      <c r="T28" s="174">
        <v>-534</v>
      </c>
      <c r="U28" s="174">
        <v>-2072</v>
      </c>
      <c r="V28"/>
      <c r="W28" s="177">
        <v>-492</v>
      </c>
      <c r="X28" s="174">
        <v>-673</v>
      </c>
      <c r="Y28" s="174">
        <v>-256</v>
      </c>
      <c r="Z28" s="174">
        <v>-689</v>
      </c>
      <c r="AA28" s="174">
        <v>-2110</v>
      </c>
      <c r="AB28"/>
      <c r="AC28" s="177">
        <v>-3075</v>
      </c>
      <c r="AD28" s="217">
        <v>-1973</v>
      </c>
      <c r="AE28" s="217">
        <v>-1377</v>
      </c>
      <c r="AF28" s="174">
        <v>-1373</v>
      </c>
      <c r="AG28" s="174">
        <v>-7798</v>
      </c>
      <c r="AH28"/>
      <c r="AI28" s="177">
        <v>-465</v>
      </c>
      <c r="AJ28" s="217">
        <v>-2726</v>
      </c>
      <c r="AK28" s="217">
        <v>-1323</v>
      </c>
      <c r="AL28" s="174">
        <v>-96</v>
      </c>
      <c r="AM28" s="174">
        <v>-4610</v>
      </c>
      <c r="AN28"/>
      <c r="AO28" s="206">
        <v>-1113</v>
      </c>
      <c r="AP28" s="217">
        <v>-517</v>
      </c>
      <c r="AQ28" s="174">
        <v>-102</v>
      </c>
      <c r="AR28" s="174">
        <v>-413</v>
      </c>
      <c r="AS28" s="174">
        <v>-2145</v>
      </c>
      <c r="AT28" s="240"/>
      <c r="AU28" s="174">
        <v>-96</v>
      </c>
      <c r="AV28" s="174">
        <v>-137</v>
      </c>
      <c r="AW28" s="174">
        <v>-130</v>
      </c>
      <c r="AX28" s="174">
        <v>-121</v>
      </c>
      <c r="AY28" s="174">
        <v>-484</v>
      </c>
      <c r="AZ28" s="240"/>
      <c r="BA28" s="174">
        <v>-1295</v>
      </c>
      <c r="BB28" s="174">
        <v>-367</v>
      </c>
      <c r="BC28" s="174">
        <v>-139</v>
      </c>
      <c r="BD28" s="174">
        <v>-333</v>
      </c>
      <c r="BE28" s="174">
        <v>-2134</v>
      </c>
      <c r="BF28" s="174">
        <v>-341</v>
      </c>
      <c r="BG28" s="174">
        <v>-1298</v>
      </c>
      <c r="BH28" s="174">
        <v>-465</v>
      </c>
      <c r="BI28" s="174">
        <v>-147</v>
      </c>
      <c r="BJ28" s="174">
        <v>-2251</v>
      </c>
      <c r="BK28" s="174">
        <v>-148</v>
      </c>
      <c r="BL28" s="174">
        <v>-344</v>
      </c>
      <c r="BM28" s="174">
        <v>-322</v>
      </c>
      <c r="BN28" s="174">
        <v>-216</v>
      </c>
      <c r="BO28" s="174">
        <v>-1030</v>
      </c>
      <c r="BP28" s="174">
        <v>-610</v>
      </c>
      <c r="BQ28" s="340">
        <v>-739</v>
      </c>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row>
    <row r="29" spans="1:250" ht="12" customHeight="1">
      <c r="A29" s="518" t="s">
        <v>211</v>
      </c>
      <c r="B29" s="2"/>
      <c r="C29" s="177">
        <v>-1000</v>
      </c>
      <c r="D29"/>
      <c r="E29" s="177">
        <v>0</v>
      </c>
      <c r="F29" s="174">
        <v>-400</v>
      </c>
      <c r="G29" s="174">
        <v>0</v>
      </c>
      <c r="H29" s="174">
        <v>-400</v>
      </c>
      <c r="I29" s="174">
        <v>-800</v>
      </c>
      <c r="J29"/>
      <c r="K29" s="177">
        <v>0</v>
      </c>
      <c r="L29" s="174">
        <v>0</v>
      </c>
      <c r="M29" s="174">
        <v>-150</v>
      </c>
      <c r="N29" s="174">
        <v>-150</v>
      </c>
      <c r="O29" s="174">
        <v>-300</v>
      </c>
      <c r="P29"/>
      <c r="Q29" s="177">
        <v>0</v>
      </c>
      <c r="R29" s="174">
        <v>0</v>
      </c>
      <c r="S29" s="174">
        <v>-100</v>
      </c>
      <c r="T29" s="174">
        <v>-100</v>
      </c>
      <c r="U29" s="174">
        <v>-200</v>
      </c>
      <c r="V29"/>
      <c r="W29" s="177">
        <v>0</v>
      </c>
      <c r="X29" s="174">
        <v>0</v>
      </c>
      <c r="Y29" s="174">
        <v>0</v>
      </c>
      <c r="Z29" s="174">
        <v>0</v>
      </c>
      <c r="AA29" s="174">
        <v>0</v>
      </c>
      <c r="AB29"/>
      <c r="AC29" s="177">
        <v>0</v>
      </c>
      <c r="AD29" s="217">
        <v>0</v>
      </c>
      <c r="AE29" s="217">
        <v>0</v>
      </c>
      <c r="AF29" s="174">
        <v>0</v>
      </c>
      <c r="AG29" s="174">
        <v>0</v>
      </c>
      <c r="AH29"/>
      <c r="AI29" s="177">
        <v>0</v>
      </c>
      <c r="AJ29" s="217">
        <v>0</v>
      </c>
      <c r="AK29" s="217">
        <v>0</v>
      </c>
      <c r="AL29" s="174">
        <v>0</v>
      </c>
      <c r="AM29" s="174">
        <v>0</v>
      </c>
      <c r="AN29"/>
      <c r="AO29" s="206">
        <v>0</v>
      </c>
      <c r="AP29" s="217">
        <v>-300</v>
      </c>
      <c r="AQ29" s="174">
        <v>0</v>
      </c>
      <c r="AR29" s="174">
        <v>0</v>
      </c>
      <c r="AS29" s="174">
        <v>-300</v>
      </c>
      <c r="AT29" s="240"/>
      <c r="AU29" s="174">
        <v>0</v>
      </c>
      <c r="AV29" s="174">
        <v>0</v>
      </c>
      <c r="AW29" s="174">
        <v>-600</v>
      </c>
      <c r="AX29" s="174">
        <v>0</v>
      </c>
      <c r="AY29" s="174">
        <v>-600</v>
      </c>
      <c r="AZ29" s="240"/>
      <c r="BA29" s="174">
        <v>0</v>
      </c>
      <c r="BB29" s="174">
        <v>0</v>
      </c>
      <c r="BC29" s="174">
        <v>-200</v>
      </c>
      <c r="BD29" s="174">
        <v>0</v>
      </c>
      <c r="BE29" s="217">
        <v>-200</v>
      </c>
      <c r="BF29" s="174">
        <v>0</v>
      </c>
      <c r="BG29" s="174">
        <v>0</v>
      </c>
      <c r="BH29" s="174">
        <v>-300</v>
      </c>
      <c r="BI29" s="174">
        <v>0</v>
      </c>
      <c r="BJ29" s="174">
        <v>-300</v>
      </c>
      <c r="BK29" s="174">
        <v>0</v>
      </c>
      <c r="BL29" s="174">
        <v>0</v>
      </c>
      <c r="BM29" s="174">
        <v>0</v>
      </c>
      <c r="BN29" s="174">
        <v>0</v>
      </c>
      <c r="BO29" s="174">
        <v>0</v>
      </c>
      <c r="BP29" s="174">
        <v>0</v>
      </c>
      <c r="BQ29" s="340">
        <v>0</v>
      </c>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row>
    <row r="30" spans="1:250" ht="12" customHeight="1">
      <c r="A30" s="518" t="s">
        <v>193</v>
      </c>
      <c r="B30" s="2"/>
      <c r="C30" s="177">
        <v>-136</v>
      </c>
      <c r="D30"/>
      <c r="E30" s="177">
        <v>-17</v>
      </c>
      <c r="F30" s="174">
        <v>-162</v>
      </c>
      <c r="G30" s="174">
        <v>-29</v>
      </c>
      <c r="H30" s="174">
        <v>-24</v>
      </c>
      <c r="I30" s="174">
        <v>-232</v>
      </c>
      <c r="J30"/>
      <c r="K30" s="177">
        <v>-28</v>
      </c>
      <c r="L30" s="174">
        <v>-27</v>
      </c>
      <c r="M30" s="174">
        <v>-43</v>
      </c>
      <c r="N30" s="174">
        <v>-46</v>
      </c>
      <c r="O30" s="174">
        <v>-144</v>
      </c>
      <c r="P30"/>
      <c r="Q30" s="177">
        <v>-42</v>
      </c>
      <c r="R30" s="174">
        <v>-39</v>
      </c>
      <c r="S30" s="174">
        <v>-37</v>
      </c>
      <c r="T30" s="174">
        <v>-39</v>
      </c>
      <c r="U30" s="174">
        <v>-157</v>
      </c>
      <c r="V30"/>
      <c r="W30" s="177">
        <v>-32</v>
      </c>
      <c r="X30" s="174">
        <v>-38</v>
      </c>
      <c r="Y30" s="174">
        <v>-46</v>
      </c>
      <c r="Z30" s="174">
        <v>-3</v>
      </c>
      <c r="AA30" s="174">
        <v>-119</v>
      </c>
      <c r="AB30"/>
      <c r="AC30" s="177">
        <v>-54</v>
      </c>
      <c r="AD30" s="217">
        <v>-54</v>
      </c>
      <c r="AE30" s="217">
        <v>-9</v>
      </c>
      <c r="AF30" s="174">
        <v>-122</v>
      </c>
      <c r="AG30" s="174">
        <v>-239</v>
      </c>
      <c r="AH30"/>
      <c r="AI30" s="177">
        <v>-67</v>
      </c>
      <c r="AJ30" s="217">
        <v>-68</v>
      </c>
      <c r="AK30" s="217">
        <v>-14</v>
      </c>
      <c r="AL30" s="174">
        <v>-28</v>
      </c>
      <c r="AM30" s="174">
        <v>-177</v>
      </c>
      <c r="AN30"/>
      <c r="AO30" s="206">
        <v>-41</v>
      </c>
      <c r="AP30" s="217">
        <v>-23</v>
      </c>
      <c r="AQ30" s="174">
        <v>-16</v>
      </c>
      <c r="AR30" s="174">
        <v>-14</v>
      </c>
      <c r="AS30" s="174">
        <v>-94</v>
      </c>
      <c r="AT30" s="240"/>
      <c r="AU30" s="174">
        <v>-31</v>
      </c>
      <c r="AV30" s="174">
        <v>-9</v>
      </c>
      <c r="AW30" s="174">
        <v>-5</v>
      </c>
      <c r="AX30" s="174">
        <v>-47</v>
      </c>
      <c r="AY30" s="174">
        <v>-92</v>
      </c>
      <c r="AZ30" s="240"/>
      <c r="BA30" s="174">
        <v>-27</v>
      </c>
      <c r="BB30" s="174">
        <v>-25</v>
      </c>
      <c r="BC30" s="174">
        <v>9</v>
      </c>
      <c r="BD30" s="174">
        <v>-38</v>
      </c>
      <c r="BE30" s="174">
        <v>-81</v>
      </c>
      <c r="BF30" s="174">
        <v>-65</v>
      </c>
      <c r="BG30" s="174">
        <v>-37</v>
      </c>
      <c r="BH30" s="174">
        <v>-52</v>
      </c>
      <c r="BI30" s="174">
        <v>-48</v>
      </c>
      <c r="BJ30" s="174">
        <v>-202</v>
      </c>
      <c r="BK30" s="174">
        <v>-50</v>
      </c>
      <c r="BL30" s="174">
        <v>-33</v>
      </c>
      <c r="BM30" s="174">
        <v>-28</v>
      </c>
      <c r="BN30" s="174">
        <v>-9</v>
      </c>
      <c r="BO30" s="174">
        <v>-120</v>
      </c>
      <c r="BP30" s="174">
        <v>-48</v>
      </c>
      <c r="BQ30" s="340">
        <v>-6</v>
      </c>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row>
    <row r="31" spans="1:250" ht="12" customHeight="1">
      <c r="A31" s="518" t="s">
        <v>212</v>
      </c>
      <c r="B31" s="2"/>
      <c r="C31" s="177">
        <v>-17</v>
      </c>
      <c r="D31"/>
      <c r="E31" s="177">
        <v>7</v>
      </c>
      <c r="F31" s="174">
        <v>3</v>
      </c>
      <c r="G31" s="174">
        <v>4</v>
      </c>
      <c r="H31" s="174">
        <v>-10</v>
      </c>
      <c r="I31" s="174">
        <v>4</v>
      </c>
      <c r="J31"/>
      <c r="K31" s="177">
        <v>-3</v>
      </c>
      <c r="L31" s="174">
        <v>12</v>
      </c>
      <c r="M31" s="174">
        <v>0</v>
      </c>
      <c r="N31" s="174">
        <v>3</v>
      </c>
      <c r="O31" s="174">
        <v>12</v>
      </c>
      <c r="P31"/>
      <c r="Q31" s="177">
        <v>0</v>
      </c>
      <c r="R31" s="174">
        <v>2</v>
      </c>
      <c r="S31" s="174">
        <v>1</v>
      </c>
      <c r="T31" s="174">
        <v>2</v>
      </c>
      <c r="U31" s="174">
        <v>5</v>
      </c>
      <c r="V31"/>
      <c r="W31" s="177">
        <v>1</v>
      </c>
      <c r="X31" s="174">
        <v>1</v>
      </c>
      <c r="Y31" s="174">
        <v>1</v>
      </c>
      <c r="Z31" s="174">
        <v>16</v>
      </c>
      <c r="AA31" s="174">
        <v>19</v>
      </c>
      <c r="AB31"/>
      <c r="AC31" s="177">
        <v>0</v>
      </c>
      <c r="AD31" s="217">
        <v>1</v>
      </c>
      <c r="AE31" s="217">
        <v>0</v>
      </c>
      <c r="AF31" s="174">
        <v>-2</v>
      </c>
      <c r="AG31" s="174">
        <v>-1</v>
      </c>
      <c r="AH31"/>
      <c r="AI31" s="177">
        <v>1</v>
      </c>
      <c r="AJ31" s="217">
        <v>-6</v>
      </c>
      <c r="AK31" s="217">
        <v>5</v>
      </c>
      <c r="AL31" s="174">
        <v>-8</v>
      </c>
      <c r="AM31" s="174">
        <v>-8</v>
      </c>
      <c r="AN31"/>
      <c r="AO31" s="206">
        <v>1</v>
      </c>
      <c r="AP31" s="217">
        <v>-17</v>
      </c>
      <c r="AQ31" s="174">
        <v>8</v>
      </c>
      <c r="AR31" s="174">
        <v>-11</v>
      </c>
      <c r="AS31" s="174">
        <v>-19</v>
      </c>
      <c r="AT31" s="240"/>
      <c r="AU31" s="174">
        <v>7</v>
      </c>
      <c r="AV31" s="174">
        <v>-1</v>
      </c>
      <c r="AW31" s="174">
        <v>2</v>
      </c>
      <c r="AX31" s="174">
        <v>45</v>
      </c>
      <c r="AY31" s="174">
        <v>53</v>
      </c>
      <c r="AZ31" s="240"/>
      <c r="BA31" s="174">
        <v>3</v>
      </c>
      <c r="BB31" s="174">
        <v>45</v>
      </c>
      <c r="BC31" s="174">
        <v>-50</v>
      </c>
      <c r="BD31" s="174">
        <v>-3</v>
      </c>
      <c r="BE31" s="174">
        <v>-5</v>
      </c>
      <c r="BF31" s="174">
        <v>3</v>
      </c>
      <c r="BG31" s="174">
        <f>-407+400</f>
        <v>-7</v>
      </c>
      <c r="BH31" s="174">
        <v>2</v>
      </c>
      <c r="BI31" s="174">
        <v>-2</v>
      </c>
      <c r="BJ31" s="174">
        <v>-4</v>
      </c>
      <c r="BK31" s="174">
        <v>4</v>
      </c>
      <c r="BL31" s="174">
        <v>4</v>
      </c>
      <c r="BM31" s="174">
        <v>104</v>
      </c>
      <c r="BN31" s="174">
        <v>-30</v>
      </c>
      <c r="BO31" s="174">
        <v>82</v>
      </c>
      <c r="BP31" s="174">
        <v>2</v>
      </c>
      <c r="BQ31" s="340">
        <v>0</v>
      </c>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row>
    <row r="32" spans="1:250" ht="10.5" customHeight="1">
      <c r="A32" s="520" t="s">
        <v>213</v>
      </c>
      <c r="B32" s="171"/>
      <c r="C32" s="175">
        <v>248</v>
      </c>
      <c r="D32" s="15">
        <v>0</v>
      </c>
      <c r="E32" s="175">
        <v>377</v>
      </c>
      <c r="F32" s="173">
        <v>-171</v>
      </c>
      <c r="G32" s="173">
        <v>391</v>
      </c>
      <c r="H32" s="173">
        <v>267</v>
      </c>
      <c r="I32" s="173">
        <v>864</v>
      </c>
      <c r="J32"/>
      <c r="K32" s="175">
        <v>682</v>
      </c>
      <c r="L32" s="173">
        <v>256</v>
      </c>
      <c r="M32" s="173">
        <v>-102</v>
      </c>
      <c r="N32" s="173">
        <v>-703</v>
      </c>
      <c r="O32" s="173">
        <v>133</v>
      </c>
      <c r="P32"/>
      <c r="Q32" s="175">
        <v>-26</v>
      </c>
      <c r="R32" s="173">
        <v>-138</v>
      </c>
      <c r="S32" s="173">
        <v>56</v>
      </c>
      <c r="T32" s="173">
        <v>126</v>
      </c>
      <c r="U32" s="173">
        <v>18</v>
      </c>
      <c r="V32"/>
      <c r="W32" s="175">
        <v>608</v>
      </c>
      <c r="X32" s="173">
        <v>224</v>
      </c>
      <c r="Y32" s="173">
        <v>-301</v>
      </c>
      <c r="Z32" s="173">
        <v>-465</v>
      </c>
      <c r="AA32" s="173">
        <v>66</v>
      </c>
      <c r="AB32"/>
      <c r="AC32" s="175">
        <v>16</v>
      </c>
      <c r="AD32" s="191">
        <v>254</v>
      </c>
      <c r="AE32" s="191">
        <v>-409</v>
      </c>
      <c r="AF32" s="173">
        <v>-1169</v>
      </c>
      <c r="AG32" s="173">
        <v>-1308</v>
      </c>
      <c r="AH32"/>
      <c r="AI32" s="175">
        <v>1209</v>
      </c>
      <c r="AJ32" s="191">
        <v>-383</v>
      </c>
      <c r="AK32" s="191">
        <v>-1308</v>
      </c>
      <c r="AL32" s="173">
        <v>-66</v>
      </c>
      <c r="AM32" s="173">
        <v>-548</v>
      </c>
      <c r="AN32"/>
      <c r="AO32" s="207">
        <v>-1129</v>
      </c>
      <c r="AP32" s="191">
        <v>-826</v>
      </c>
      <c r="AQ32" s="173">
        <v>-91</v>
      </c>
      <c r="AR32" s="173">
        <v>-154</v>
      </c>
      <c r="AS32" s="173">
        <v>-2200</v>
      </c>
      <c r="AT32" s="240"/>
      <c r="AU32" s="173">
        <v>-76</v>
      </c>
      <c r="AV32" s="173">
        <v>-141</v>
      </c>
      <c r="AW32" s="173">
        <v>-109</v>
      </c>
      <c r="AX32" s="173">
        <v>-120</v>
      </c>
      <c r="AY32" s="173">
        <v>-446</v>
      </c>
      <c r="AZ32" s="240"/>
      <c r="BA32" s="173">
        <f>BA25+BA28+BA30+BA31</f>
        <v>66</v>
      </c>
      <c r="BB32" s="173">
        <v>-347</v>
      </c>
      <c r="BC32" s="173">
        <v>-105</v>
      </c>
      <c r="BD32" s="173">
        <v>-361</v>
      </c>
      <c r="BE32" s="173">
        <v>-747</v>
      </c>
      <c r="BF32" s="173">
        <v>432</v>
      </c>
      <c r="BG32" s="173">
        <f t="shared" ref="BG32:BO32" si="5">SUM(BG25:BG31)</f>
        <v>-164</v>
      </c>
      <c r="BH32" s="173">
        <f t="shared" si="5"/>
        <v>-294</v>
      </c>
      <c r="BI32" s="173">
        <f t="shared" si="5"/>
        <v>-191</v>
      </c>
      <c r="BJ32" s="173">
        <f t="shared" si="5"/>
        <v>-217</v>
      </c>
      <c r="BK32" s="173">
        <f t="shared" si="5"/>
        <v>35</v>
      </c>
      <c r="BL32" s="173">
        <f t="shared" si="5"/>
        <v>-168</v>
      </c>
      <c r="BM32" s="173">
        <f t="shared" si="5"/>
        <v>80</v>
      </c>
      <c r="BN32" s="173">
        <f t="shared" si="5"/>
        <v>-58</v>
      </c>
      <c r="BO32" s="173">
        <f t="shared" si="5"/>
        <v>-111</v>
      </c>
      <c r="BP32" s="173">
        <f>SUM(BP25:BP31)</f>
        <v>221</v>
      </c>
      <c r="BQ32" s="464">
        <f>SUM(BQ25:BQ31)</f>
        <v>-373</v>
      </c>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row>
    <row r="33" spans="1:250" ht="3.75" hidden="1" customHeight="1">
      <c r="A33" s="171"/>
      <c r="B33" s="171"/>
      <c r="C33" s="179"/>
      <c r="E33" s="179"/>
      <c r="F33" s="178"/>
      <c r="G33" s="178"/>
      <c r="H33" s="178"/>
      <c r="I33" s="178"/>
      <c r="K33" s="179"/>
      <c r="L33" s="178"/>
      <c r="M33" s="178"/>
      <c r="N33" s="178"/>
      <c r="O33" s="178"/>
      <c r="Q33" s="179"/>
      <c r="R33" s="178"/>
      <c r="S33" s="178"/>
      <c r="T33" s="178"/>
      <c r="U33" s="178"/>
      <c r="W33" s="179"/>
      <c r="X33" s="178"/>
      <c r="Y33" s="178"/>
      <c r="Z33" s="178"/>
      <c r="AA33" s="178"/>
      <c r="AC33" s="179"/>
      <c r="AD33" s="189"/>
      <c r="AE33" s="196"/>
      <c r="AF33" s="178"/>
      <c r="AG33" s="178"/>
      <c r="AI33" s="179"/>
      <c r="AJ33" s="196"/>
      <c r="AK33" s="196"/>
      <c r="AL33" s="178"/>
      <c r="AM33" s="178"/>
      <c r="AO33" s="201"/>
      <c r="AP33" s="194"/>
      <c r="AQ33" s="178"/>
      <c r="AR33" s="178"/>
      <c r="AS33" s="178"/>
      <c r="AT33" s="241"/>
      <c r="AU33" s="178"/>
      <c r="AV33" s="178"/>
      <c r="AW33" s="178"/>
      <c r="AX33" s="178"/>
      <c r="AY33" s="178"/>
      <c r="AZ33" s="241"/>
      <c r="BA33" s="178"/>
      <c r="BB33" s="178"/>
      <c r="BC33" s="178"/>
      <c r="BD33" s="178"/>
      <c r="BE33" s="178"/>
      <c r="BF33" s="178"/>
      <c r="BG33" s="178"/>
      <c r="BH33" s="178"/>
      <c r="BI33" s="178"/>
      <c r="BJ33" s="178"/>
      <c r="BK33" s="178"/>
      <c r="BL33" s="178"/>
      <c r="BM33" s="178"/>
      <c r="BN33" s="178"/>
      <c r="BO33" s="178"/>
      <c r="BP33" s="178"/>
      <c r="BQ33" s="178"/>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row>
    <row r="34" spans="1:250" ht="12" customHeight="1">
      <c r="A34" s="522" t="s">
        <v>214</v>
      </c>
      <c r="B34" s="171"/>
      <c r="C34" s="182">
        <v>-447</v>
      </c>
      <c r="D34" s="183"/>
      <c r="E34" s="182">
        <v>474</v>
      </c>
      <c r="F34" s="181">
        <v>-13</v>
      </c>
      <c r="G34" s="181">
        <v>152</v>
      </c>
      <c r="H34" s="181">
        <v>-492</v>
      </c>
      <c r="I34" s="181">
        <v>121</v>
      </c>
      <c r="J34" s="183"/>
      <c r="K34" s="182">
        <v>88</v>
      </c>
      <c r="L34" s="181">
        <v>130</v>
      </c>
      <c r="M34" s="181">
        <v>40</v>
      </c>
      <c r="N34" s="181">
        <v>139</v>
      </c>
      <c r="O34" s="181">
        <v>397</v>
      </c>
      <c r="P34" s="183"/>
      <c r="Q34" s="182">
        <v>-218</v>
      </c>
      <c r="R34" s="181">
        <v>-201</v>
      </c>
      <c r="S34" s="181">
        <v>-27</v>
      </c>
      <c r="T34" s="181">
        <v>178</v>
      </c>
      <c r="U34" s="181">
        <v>-268</v>
      </c>
      <c r="V34" s="183"/>
      <c r="W34" s="182">
        <v>-81</v>
      </c>
      <c r="X34" s="181">
        <v>104</v>
      </c>
      <c r="Y34" s="181">
        <v>159</v>
      </c>
      <c r="Z34" s="181">
        <v>171</v>
      </c>
      <c r="AA34" s="181">
        <v>353</v>
      </c>
      <c r="AB34" s="183"/>
      <c r="AC34" s="182">
        <v>-326</v>
      </c>
      <c r="AD34" s="192">
        <v>514</v>
      </c>
      <c r="AE34" s="192">
        <v>-354</v>
      </c>
      <c r="AF34" s="181">
        <v>263</v>
      </c>
      <c r="AG34" s="181">
        <v>97</v>
      </c>
      <c r="AH34" s="183"/>
      <c r="AI34" s="182">
        <v>1177</v>
      </c>
      <c r="AJ34" s="192">
        <v>-245</v>
      </c>
      <c r="AK34" s="192">
        <v>-835</v>
      </c>
      <c r="AL34" s="181">
        <v>1350</v>
      </c>
      <c r="AM34" s="181">
        <v>1447</v>
      </c>
      <c r="AN34" s="183"/>
      <c r="AO34" s="202">
        <v>-916</v>
      </c>
      <c r="AP34" s="181">
        <v>-289</v>
      </c>
      <c r="AQ34" s="181">
        <v>-681</v>
      </c>
      <c r="AR34" s="181">
        <v>1426</v>
      </c>
      <c r="AS34" s="181">
        <v>-460</v>
      </c>
      <c r="AT34" s="242"/>
      <c r="AU34" s="181">
        <v>1454</v>
      </c>
      <c r="AV34" s="181">
        <v>-691</v>
      </c>
      <c r="AW34" s="181">
        <v>-464</v>
      </c>
      <c r="AX34" s="181">
        <v>-976</v>
      </c>
      <c r="AY34" s="181">
        <v>-677</v>
      </c>
      <c r="AZ34" s="242"/>
      <c r="BA34" s="181">
        <f>BA15+BA23+BA32</f>
        <v>383</v>
      </c>
      <c r="BB34" s="181">
        <v>279</v>
      </c>
      <c r="BC34" s="181">
        <v>-442</v>
      </c>
      <c r="BD34" s="181">
        <v>286</v>
      </c>
      <c r="BE34" s="181">
        <v>506</v>
      </c>
      <c r="BF34" s="181">
        <v>-900</v>
      </c>
      <c r="BG34" s="181">
        <f t="shared" ref="BG34:BO34" si="6">BG15+BG23+BG32</f>
        <v>1620</v>
      </c>
      <c r="BH34" s="181">
        <f t="shared" si="6"/>
        <v>-1361</v>
      </c>
      <c r="BI34" s="181">
        <f t="shared" si="6"/>
        <v>-392</v>
      </c>
      <c r="BJ34" s="181">
        <f t="shared" si="6"/>
        <v>-1033</v>
      </c>
      <c r="BK34" s="181">
        <f t="shared" si="6"/>
        <v>119</v>
      </c>
      <c r="BL34" s="181">
        <f t="shared" si="6"/>
        <v>-468</v>
      </c>
      <c r="BM34" s="181">
        <f t="shared" si="6"/>
        <v>-53</v>
      </c>
      <c r="BN34" s="181">
        <f t="shared" si="6"/>
        <v>5</v>
      </c>
      <c r="BO34" s="181">
        <f t="shared" si="6"/>
        <v>-397</v>
      </c>
      <c r="BP34" s="181">
        <f>BP15+BP23+BP32</f>
        <v>74</v>
      </c>
      <c r="BQ34" s="464">
        <f>BQ15+BQ23+BQ32</f>
        <v>712</v>
      </c>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row>
    <row r="35" spans="1:250" ht="12" customHeight="1">
      <c r="A35" s="523" t="s">
        <v>215</v>
      </c>
      <c r="B35" s="4"/>
      <c r="C35" s="177">
        <v>58</v>
      </c>
      <c r="D35" s="321"/>
      <c r="E35" s="177">
        <v>-73</v>
      </c>
      <c r="F35" s="174">
        <v>-83</v>
      </c>
      <c r="G35" s="174">
        <v>9</v>
      </c>
      <c r="H35" s="174">
        <v>12</v>
      </c>
      <c r="I35" s="174">
        <v>-135</v>
      </c>
      <c r="J35" s="321"/>
      <c r="K35" s="177">
        <v>40</v>
      </c>
      <c r="L35" s="174">
        <v>-21</v>
      </c>
      <c r="M35" s="174">
        <v>-7</v>
      </c>
      <c r="N35" s="174">
        <v>-10</v>
      </c>
      <c r="O35" s="174">
        <v>2</v>
      </c>
      <c r="P35" s="321"/>
      <c r="Q35" s="177">
        <v>-18</v>
      </c>
      <c r="R35" s="174">
        <v>23</v>
      </c>
      <c r="S35" s="174">
        <v>-12</v>
      </c>
      <c r="T35" s="174">
        <v>1</v>
      </c>
      <c r="U35" s="174">
        <v>-6</v>
      </c>
      <c r="V35" s="321"/>
      <c r="W35" s="177">
        <v>18</v>
      </c>
      <c r="X35" s="174">
        <v>-17</v>
      </c>
      <c r="Y35" s="174">
        <v>20</v>
      </c>
      <c r="Z35" s="174">
        <v>-3</v>
      </c>
      <c r="AA35" s="174">
        <v>18</v>
      </c>
      <c r="AB35" s="321"/>
      <c r="AC35" s="180">
        <v>-41</v>
      </c>
      <c r="AD35" s="217">
        <v>2</v>
      </c>
      <c r="AE35" s="217">
        <v>-4</v>
      </c>
      <c r="AF35" s="174">
        <v>5</v>
      </c>
      <c r="AG35" s="174">
        <v>-38</v>
      </c>
      <c r="AH35" s="321"/>
      <c r="AI35" s="180">
        <v>5</v>
      </c>
      <c r="AJ35" s="217">
        <v>-2</v>
      </c>
      <c r="AK35" s="218">
        <v>3</v>
      </c>
      <c r="AL35" s="174">
        <v>53</v>
      </c>
      <c r="AM35" s="174">
        <v>59</v>
      </c>
      <c r="AN35" s="321"/>
      <c r="AO35" s="206">
        <v>-40</v>
      </c>
      <c r="AP35" s="217">
        <v>-9</v>
      </c>
      <c r="AQ35" s="174">
        <v>-19</v>
      </c>
      <c r="AR35" s="174">
        <v>-90</v>
      </c>
      <c r="AS35" s="174">
        <v>-158</v>
      </c>
      <c r="AT35" s="338"/>
      <c r="AU35" s="174">
        <v>-3</v>
      </c>
      <c r="AV35" s="174">
        <v>-29</v>
      </c>
      <c r="AW35" s="174">
        <v>-39</v>
      </c>
      <c r="AX35" s="174">
        <v>44</v>
      </c>
      <c r="AY35" s="174">
        <v>-27</v>
      </c>
      <c r="AZ35" s="338"/>
      <c r="BA35" s="174">
        <v>-9</v>
      </c>
      <c r="BB35" s="174">
        <v>26</v>
      </c>
      <c r="BC35" s="174">
        <v>-34</v>
      </c>
      <c r="BD35" s="174">
        <v>40</v>
      </c>
      <c r="BE35" s="174">
        <v>23</v>
      </c>
      <c r="BF35" s="174">
        <v>-3</v>
      </c>
      <c r="BG35" s="174">
        <v>-5</v>
      </c>
      <c r="BH35" s="174">
        <v>32</v>
      </c>
      <c r="BI35" s="174">
        <v>-5</v>
      </c>
      <c r="BJ35" s="174">
        <v>19</v>
      </c>
      <c r="BK35" s="174">
        <v>35</v>
      </c>
      <c r="BL35" s="174">
        <v>29</v>
      </c>
      <c r="BM35" s="174">
        <v>34</v>
      </c>
      <c r="BN35" s="174">
        <v>27</v>
      </c>
      <c r="BO35" s="174">
        <v>125</v>
      </c>
      <c r="BP35" s="174">
        <v>5</v>
      </c>
      <c r="BQ35" s="340">
        <v>-17</v>
      </c>
    </row>
    <row r="36" spans="1:250" ht="12" customHeight="1">
      <c r="A36" s="519" t="s">
        <v>216</v>
      </c>
      <c r="B36" s="4"/>
      <c r="C36" s="177">
        <v>864</v>
      </c>
      <c r="D36" s="321"/>
      <c r="E36" s="177">
        <v>475</v>
      </c>
      <c r="F36" s="174">
        <v>876</v>
      </c>
      <c r="G36" s="174">
        <v>780</v>
      </c>
      <c r="H36" s="174">
        <v>941</v>
      </c>
      <c r="I36" s="174">
        <v>475</v>
      </c>
      <c r="J36" s="321"/>
      <c r="K36" s="177">
        <v>461</v>
      </c>
      <c r="L36" s="174">
        <v>589</v>
      </c>
      <c r="M36" s="174">
        <v>698</v>
      </c>
      <c r="N36" s="174">
        <v>731</v>
      </c>
      <c r="O36" s="174">
        <v>461</v>
      </c>
      <c r="P36" s="321"/>
      <c r="Q36" s="177">
        <v>860</v>
      </c>
      <c r="R36" s="174">
        <v>624</v>
      </c>
      <c r="S36" s="174">
        <v>446</v>
      </c>
      <c r="T36" s="174">
        <v>407</v>
      </c>
      <c r="U36" s="174">
        <v>860</v>
      </c>
      <c r="V36" s="321"/>
      <c r="W36" s="177">
        <v>586</v>
      </c>
      <c r="X36" s="174">
        <v>523</v>
      </c>
      <c r="Y36" s="174">
        <v>610</v>
      </c>
      <c r="Z36" s="174">
        <v>789</v>
      </c>
      <c r="AA36" s="174">
        <v>586</v>
      </c>
      <c r="AB36" s="321"/>
      <c r="AC36" s="177">
        <v>957</v>
      </c>
      <c r="AD36" s="217">
        <v>590</v>
      </c>
      <c r="AE36" s="217">
        <v>1106</v>
      </c>
      <c r="AF36" s="174">
        <v>748</v>
      </c>
      <c r="AG36" s="174">
        <v>957</v>
      </c>
      <c r="AH36" s="321"/>
      <c r="AI36" s="177">
        <v>1016</v>
      </c>
      <c r="AJ36" s="217">
        <v>2198</v>
      </c>
      <c r="AK36" s="217">
        <v>1951</v>
      </c>
      <c r="AL36" s="174">
        <v>1119</v>
      </c>
      <c r="AM36" s="174">
        <v>1016</v>
      </c>
      <c r="AN36" s="321"/>
      <c r="AO36" s="206">
        <v>2522</v>
      </c>
      <c r="AP36" s="217">
        <v>1566</v>
      </c>
      <c r="AQ36" s="174">
        <v>1268</v>
      </c>
      <c r="AR36" s="174">
        <v>568</v>
      </c>
      <c r="AS36" s="174">
        <v>2522</v>
      </c>
      <c r="AT36" s="338"/>
      <c r="AU36" s="174">
        <v>1904</v>
      </c>
      <c r="AV36" s="174">
        <v>3355</v>
      </c>
      <c r="AW36" s="174">
        <v>2635</v>
      </c>
      <c r="AX36" s="174">
        <v>2132</v>
      </c>
      <c r="AY36" s="174">
        <v>1904</v>
      </c>
      <c r="AZ36" s="338"/>
      <c r="BA36" s="174">
        <v>1200</v>
      </c>
      <c r="BB36" s="174">
        <v>1574</v>
      </c>
      <c r="BC36" s="174">
        <v>1879</v>
      </c>
      <c r="BD36" s="174">
        <v>1403</v>
      </c>
      <c r="BE36" s="174">
        <v>1200</v>
      </c>
      <c r="BF36" s="174">
        <v>1729</v>
      </c>
      <c r="BG36" s="174">
        <f>BF37</f>
        <v>826</v>
      </c>
      <c r="BH36" s="174">
        <v>2441</v>
      </c>
      <c r="BI36" s="174">
        <v>1112</v>
      </c>
      <c r="BJ36" s="174">
        <v>1729</v>
      </c>
      <c r="BK36" s="174">
        <v>715</v>
      </c>
      <c r="BL36" s="174">
        <v>869</v>
      </c>
      <c r="BM36" s="174">
        <v>430</v>
      </c>
      <c r="BN36" s="174">
        <v>411</v>
      </c>
      <c r="BO36" s="174">
        <v>715</v>
      </c>
      <c r="BP36" s="174">
        <f>BO37</f>
        <v>443</v>
      </c>
      <c r="BQ36" s="340">
        <f>BP37</f>
        <v>522</v>
      </c>
    </row>
    <row r="37" spans="1:250" ht="12" customHeight="1">
      <c r="A37" s="520" t="s">
        <v>217</v>
      </c>
      <c r="B37" s="171"/>
      <c r="C37" s="175">
        <v>475</v>
      </c>
      <c r="D37"/>
      <c r="E37" s="175">
        <v>876</v>
      </c>
      <c r="F37" s="173">
        <v>780</v>
      </c>
      <c r="G37" s="173">
        <v>941</v>
      </c>
      <c r="H37" s="173">
        <v>461</v>
      </c>
      <c r="I37" s="173">
        <v>461</v>
      </c>
      <c r="J37"/>
      <c r="K37" s="175">
        <v>589</v>
      </c>
      <c r="L37" s="173">
        <v>698</v>
      </c>
      <c r="M37" s="173">
        <v>731</v>
      </c>
      <c r="N37" s="173">
        <v>860</v>
      </c>
      <c r="O37" s="173">
        <v>860</v>
      </c>
      <c r="P37"/>
      <c r="Q37" s="175">
        <v>624</v>
      </c>
      <c r="R37" s="173">
        <v>446</v>
      </c>
      <c r="S37" s="173">
        <v>407</v>
      </c>
      <c r="T37" s="173">
        <v>586</v>
      </c>
      <c r="U37" s="173">
        <v>586</v>
      </c>
      <c r="V37"/>
      <c r="W37" s="175">
        <v>523</v>
      </c>
      <c r="X37" s="173">
        <v>610</v>
      </c>
      <c r="Y37" s="173">
        <v>789</v>
      </c>
      <c r="Z37" s="173">
        <v>957</v>
      </c>
      <c r="AA37" s="173">
        <v>957</v>
      </c>
      <c r="AB37"/>
      <c r="AC37" s="175">
        <v>590</v>
      </c>
      <c r="AD37" s="191">
        <v>1106</v>
      </c>
      <c r="AE37" s="191">
        <v>748</v>
      </c>
      <c r="AF37" s="173">
        <v>1016</v>
      </c>
      <c r="AG37" s="173">
        <v>1016</v>
      </c>
      <c r="AH37"/>
      <c r="AI37" s="175">
        <v>2198</v>
      </c>
      <c r="AJ37" s="191">
        <v>1951</v>
      </c>
      <c r="AK37" s="191">
        <v>1119</v>
      </c>
      <c r="AL37" s="173">
        <v>2522</v>
      </c>
      <c r="AM37" s="173">
        <v>2522</v>
      </c>
      <c r="AN37"/>
      <c r="AO37" s="207">
        <v>1566</v>
      </c>
      <c r="AP37" s="191">
        <v>1268</v>
      </c>
      <c r="AQ37" s="173">
        <v>568</v>
      </c>
      <c r="AR37" s="173">
        <v>1904</v>
      </c>
      <c r="AS37" s="173">
        <v>1904</v>
      </c>
      <c r="AT37" s="240"/>
      <c r="AU37" s="173">
        <v>3355</v>
      </c>
      <c r="AV37" s="173">
        <v>2635</v>
      </c>
      <c r="AW37" s="173">
        <v>2132</v>
      </c>
      <c r="AX37" s="173">
        <v>1200</v>
      </c>
      <c r="AY37" s="173">
        <v>1200</v>
      </c>
      <c r="AZ37" s="240"/>
      <c r="BA37" s="173">
        <v>1574</v>
      </c>
      <c r="BB37" s="173">
        <v>1879</v>
      </c>
      <c r="BC37" s="173">
        <v>1403</v>
      </c>
      <c r="BD37" s="173">
        <v>1729</v>
      </c>
      <c r="BE37" s="173">
        <v>1729</v>
      </c>
      <c r="BF37" s="173">
        <v>826</v>
      </c>
      <c r="BG37" s="173">
        <f>SUM(BG34:BG36)</f>
        <v>2441</v>
      </c>
      <c r="BH37" s="173">
        <v>1112</v>
      </c>
      <c r="BI37" s="173">
        <v>715</v>
      </c>
      <c r="BJ37" s="173">
        <v>715</v>
      </c>
      <c r="BK37" s="173">
        <v>869</v>
      </c>
      <c r="BL37" s="173">
        <v>430</v>
      </c>
      <c r="BM37" s="173">
        <v>411</v>
      </c>
      <c r="BN37" s="173">
        <v>443</v>
      </c>
      <c r="BO37" s="173">
        <v>443</v>
      </c>
      <c r="BP37" s="173">
        <f>BP36+BP34+BP35</f>
        <v>522</v>
      </c>
      <c r="BQ37" s="339">
        <f>BQ36+BQ34+BQ35</f>
        <v>1217</v>
      </c>
    </row>
    <row r="38" spans="1:250" ht="13.5">
      <c r="A38"/>
      <c r="B38"/>
      <c r="C38" s="16"/>
      <c r="D38"/>
      <c r="E38" s="16"/>
      <c r="F38" s="16"/>
      <c r="G38" s="16"/>
      <c r="H38" s="16"/>
      <c r="I38" s="16"/>
      <c r="J38"/>
      <c r="K38" s="16"/>
      <c r="L38" s="16"/>
      <c r="M38" s="16"/>
      <c r="N38" s="16"/>
      <c r="O38" s="16"/>
      <c r="P38"/>
      <c r="Q38" s="16"/>
      <c r="R38" s="16"/>
      <c r="S38" s="16"/>
      <c r="T38" s="16"/>
      <c r="U38" s="16"/>
      <c r="V38"/>
      <c r="W38" s="190"/>
      <c r="X38" s="190"/>
      <c r="Y38" s="190"/>
      <c r="Z38" s="190"/>
      <c r="AA38" s="190"/>
      <c r="AB38" s="190">
        <v>0</v>
      </c>
      <c r="AC38" s="190"/>
      <c r="AD38" s="190"/>
      <c r="AE38" s="195"/>
      <c r="AF38" s="190"/>
      <c r="AG38" s="190"/>
      <c r="AH38" s="190"/>
      <c r="AI38" s="190"/>
      <c r="AJ38" s="195"/>
      <c r="AK38" s="190"/>
      <c r="AL38" s="190"/>
      <c r="AM38" s="190"/>
      <c r="AN38" s="190"/>
      <c r="AO38" s="195"/>
      <c r="AP38" s="195"/>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row>
    <row r="39" spans="1:250" ht="21" customHeight="1">
      <c r="A39" s="524" t="s">
        <v>218</v>
      </c>
      <c r="B39"/>
      <c r="C39" s="17"/>
      <c r="D39"/>
      <c r="E39" s="184"/>
      <c r="F39" s="184"/>
      <c r="G39" s="184"/>
      <c r="H39" s="184"/>
      <c r="I39" s="185"/>
      <c r="J39"/>
      <c r="K39" s="184"/>
      <c r="L39" s="184"/>
      <c r="M39" s="184"/>
      <c r="N39" s="184"/>
      <c r="O39" s="185"/>
      <c r="P39"/>
      <c r="Q39" s="184"/>
      <c r="R39" s="184"/>
      <c r="S39" s="184"/>
      <c r="T39" s="184"/>
      <c r="U39" s="185"/>
      <c r="V39"/>
      <c r="W39" s="184"/>
      <c r="X39" s="184"/>
      <c r="Y39" s="184"/>
      <c r="Z39" s="184"/>
      <c r="AA39" s="185"/>
      <c r="AB39"/>
      <c r="AC39" s="17"/>
      <c r="AD39" s="186"/>
      <c r="AE39" s="197"/>
      <c r="AF39" s="184"/>
      <c r="AG39" s="185"/>
      <c r="AH39"/>
      <c r="AI39" s="17"/>
      <c r="AJ39" s="197"/>
      <c r="AK39" s="17"/>
      <c r="AL39" s="184"/>
      <c r="AM39" s="185"/>
      <c r="AN39"/>
      <c r="AO39" s="203"/>
      <c r="AP39" s="203"/>
      <c r="AQ39" s="185"/>
      <c r="AR39" s="185"/>
      <c r="AS39" s="185"/>
      <c r="AT39"/>
      <c r="AU39" s="185"/>
      <c r="AV39" s="185"/>
      <c r="AW39" s="185"/>
      <c r="AX39" s="185"/>
      <c r="AY39" s="185"/>
      <c r="AZ39"/>
      <c r="BA39" s="185"/>
      <c r="BB39" s="185"/>
      <c r="BC39" s="185"/>
      <c r="BD39" s="185"/>
      <c r="BE39" s="185"/>
      <c r="BF39" s="185"/>
      <c r="BG39" s="185"/>
      <c r="BH39" s="185"/>
      <c r="BI39" s="185"/>
      <c r="BJ39" s="185"/>
      <c r="BK39" s="185"/>
      <c r="BL39" s="185"/>
      <c r="BM39" s="185"/>
      <c r="BN39" s="185"/>
      <c r="BO39" s="185"/>
      <c r="BP39" s="185"/>
      <c r="BQ39" s="185"/>
    </row>
    <row r="40" spans="1:250" ht="12.75">
      <c r="A40" s="525" t="s">
        <v>22</v>
      </c>
      <c r="B40"/>
      <c r="C40" s="177">
        <v>2203</v>
      </c>
      <c r="D40"/>
      <c r="E40" s="180">
        <v>659</v>
      </c>
      <c r="F40" s="176">
        <v>487</v>
      </c>
      <c r="G40" s="176">
        <v>596</v>
      </c>
      <c r="H40" s="176">
        <v>739</v>
      </c>
      <c r="I40" s="181">
        <v>2481</v>
      </c>
      <c r="J40"/>
      <c r="K40" s="180">
        <v>820</v>
      </c>
      <c r="L40" s="176">
        <v>611</v>
      </c>
      <c r="M40" s="176">
        <v>576</v>
      </c>
      <c r="N40" s="176">
        <v>597</v>
      </c>
      <c r="O40" s="181">
        <v>2604</v>
      </c>
      <c r="P40"/>
      <c r="Q40" s="180">
        <v>611</v>
      </c>
      <c r="R40" s="176">
        <v>372</v>
      </c>
      <c r="S40" s="176">
        <v>377</v>
      </c>
      <c r="T40" s="176">
        <v>631</v>
      </c>
      <c r="U40" s="181">
        <v>1991</v>
      </c>
      <c r="V40"/>
      <c r="W40" s="180">
        <v>571</v>
      </c>
      <c r="X40" s="176">
        <v>390</v>
      </c>
      <c r="Y40" s="176">
        <v>426</v>
      </c>
      <c r="Z40" s="176">
        <v>520</v>
      </c>
      <c r="AA40" s="181">
        <v>1907</v>
      </c>
      <c r="AB40"/>
      <c r="AC40" s="177">
        <v>845</v>
      </c>
      <c r="AD40" s="217">
        <v>467</v>
      </c>
      <c r="AE40" s="217">
        <v>462</v>
      </c>
      <c r="AF40" s="176">
        <v>592</v>
      </c>
      <c r="AG40" s="181">
        <v>2366</v>
      </c>
      <c r="AH40"/>
      <c r="AI40" s="177">
        <v>744</v>
      </c>
      <c r="AJ40" s="217">
        <v>464</v>
      </c>
      <c r="AK40" s="217">
        <v>633</v>
      </c>
      <c r="AL40" s="176">
        <v>591</v>
      </c>
      <c r="AM40" s="181">
        <v>2432</v>
      </c>
      <c r="AN40"/>
      <c r="AO40" s="206">
        <v>663</v>
      </c>
      <c r="AP40" s="217">
        <v>544</v>
      </c>
      <c r="AQ40" s="176">
        <v>538</v>
      </c>
      <c r="AR40" s="176">
        <v>662</v>
      </c>
      <c r="AS40" s="181">
        <v>2407</v>
      </c>
      <c r="AT40" s="240"/>
      <c r="AU40" s="176">
        <v>781</v>
      </c>
      <c r="AV40" s="176">
        <v>568</v>
      </c>
      <c r="AW40" s="176">
        <v>647</v>
      </c>
      <c r="AX40" s="176">
        <v>735</v>
      </c>
      <c r="AY40" s="181">
        <v>2731</v>
      </c>
      <c r="AZ40"/>
      <c r="BA40" s="176">
        <v>883</v>
      </c>
      <c r="BB40" s="176">
        <v>684</v>
      </c>
      <c r="BC40" s="176">
        <v>610</v>
      </c>
      <c r="BD40" s="176">
        <v>897</v>
      </c>
      <c r="BE40" s="181">
        <v>3074</v>
      </c>
      <c r="BF40" s="176">
        <v>1019</v>
      </c>
      <c r="BG40" s="176">
        <v>647</v>
      </c>
      <c r="BH40" s="176">
        <v>880</v>
      </c>
      <c r="BI40" s="176">
        <v>1089</v>
      </c>
      <c r="BJ40" s="176">
        <v>3635</v>
      </c>
      <c r="BK40" s="176">
        <v>1165</v>
      </c>
      <c r="BL40" s="176">
        <v>727</v>
      </c>
      <c r="BM40" s="176">
        <v>891</v>
      </c>
      <c r="BN40" s="176">
        <v>1127</v>
      </c>
      <c r="BO40" s="176">
        <v>3910</v>
      </c>
      <c r="BP40" s="176">
        <v>1078</v>
      </c>
      <c r="BQ40" s="365">
        <v>814</v>
      </c>
    </row>
    <row r="41" spans="1:250" ht="12.75">
      <c r="A41" s="525" t="s">
        <v>23</v>
      </c>
      <c r="B41"/>
      <c r="C41" s="177">
        <v>924</v>
      </c>
      <c r="D41"/>
      <c r="E41" s="177">
        <v>217</v>
      </c>
      <c r="F41" s="174">
        <v>219</v>
      </c>
      <c r="G41" s="174">
        <v>253</v>
      </c>
      <c r="H41" s="174">
        <v>412</v>
      </c>
      <c r="I41" s="173">
        <v>1101</v>
      </c>
      <c r="J41"/>
      <c r="K41" s="177">
        <v>176</v>
      </c>
      <c r="L41" s="174">
        <v>127</v>
      </c>
      <c r="M41" s="174">
        <v>67</v>
      </c>
      <c r="N41" s="174">
        <v>60</v>
      </c>
      <c r="O41" s="173">
        <v>430</v>
      </c>
      <c r="P41"/>
      <c r="Q41" s="177">
        <v>83</v>
      </c>
      <c r="R41" s="174">
        <v>150</v>
      </c>
      <c r="S41" s="174">
        <v>135</v>
      </c>
      <c r="T41" s="174">
        <v>181</v>
      </c>
      <c r="U41" s="173">
        <v>549</v>
      </c>
      <c r="V41"/>
      <c r="W41" s="177">
        <v>133</v>
      </c>
      <c r="X41" s="174">
        <v>164</v>
      </c>
      <c r="Y41" s="174">
        <v>147</v>
      </c>
      <c r="Z41" s="174">
        <v>176</v>
      </c>
      <c r="AA41" s="173">
        <v>620</v>
      </c>
      <c r="AB41"/>
      <c r="AC41" s="177">
        <v>132</v>
      </c>
      <c r="AD41" s="217">
        <v>180</v>
      </c>
      <c r="AE41" s="217">
        <v>166</v>
      </c>
      <c r="AF41" s="174">
        <v>176</v>
      </c>
      <c r="AG41" s="173">
        <v>654</v>
      </c>
      <c r="AH41"/>
      <c r="AI41" s="177">
        <v>192</v>
      </c>
      <c r="AJ41" s="217">
        <v>104</v>
      </c>
      <c r="AK41" s="217">
        <v>135</v>
      </c>
      <c r="AL41" s="174">
        <v>166</v>
      </c>
      <c r="AM41" s="173">
        <v>597</v>
      </c>
      <c r="AN41"/>
      <c r="AO41" s="206">
        <v>173</v>
      </c>
      <c r="AP41" s="217">
        <v>238</v>
      </c>
      <c r="AQ41" s="174">
        <v>245</v>
      </c>
      <c r="AR41" s="174">
        <v>358</v>
      </c>
      <c r="AS41" s="173">
        <v>1014</v>
      </c>
      <c r="AT41" s="240"/>
      <c r="AU41" s="174">
        <v>263</v>
      </c>
      <c r="AV41" s="174">
        <v>231</v>
      </c>
      <c r="AW41" s="174">
        <v>259</v>
      </c>
      <c r="AX41" s="174">
        <v>160</v>
      </c>
      <c r="AY41" s="173">
        <v>913</v>
      </c>
      <c r="AZ41"/>
      <c r="BA41" s="174">
        <v>203</v>
      </c>
      <c r="BB41" s="174">
        <v>135</v>
      </c>
      <c r="BC41" s="174">
        <v>222</v>
      </c>
      <c r="BD41" s="174">
        <v>424</v>
      </c>
      <c r="BE41" s="173">
        <v>984</v>
      </c>
      <c r="BF41" s="174">
        <v>329</v>
      </c>
      <c r="BG41" s="174">
        <v>363</v>
      </c>
      <c r="BH41" s="174">
        <v>520</v>
      </c>
      <c r="BI41" s="174">
        <v>424</v>
      </c>
      <c r="BJ41" s="174">
        <v>1636</v>
      </c>
      <c r="BK41" s="174">
        <v>227</v>
      </c>
      <c r="BL41" s="174">
        <v>178</v>
      </c>
      <c r="BM41" s="174">
        <v>265</v>
      </c>
      <c r="BN41" s="174">
        <v>346</v>
      </c>
      <c r="BO41" s="174">
        <v>1016</v>
      </c>
      <c r="BP41" s="174">
        <v>194</v>
      </c>
      <c r="BQ41" s="364">
        <v>241</v>
      </c>
    </row>
    <row r="42" spans="1:250" ht="12.75">
      <c r="A42" s="525" t="s">
        <v>24</v>
      </c>
      <c r="B42" s="187"/>
      <c r="C42" s="177">
        <v>2745</v>
      </c>
      <c r="D42" s="187"/>
      <c r="E42" s="177">
        <v>443</v>
      </c>
      <c r="F42" s="174">
        <v>190</v>
      </c>
      <c r="G42" s="174">
        <v>256</v>
      </c>
      <c r="H42" s="174">
        <v>230</v>
      </c>
      <c r="I42" s="173">
        <v>1119</v>
      </c>
      <c r="J42" s="187"/>
      <c r="K42" s="177">
        <v>246</v>
      </c>
      <c r="L42" s="174">
        <v>105</v>
      </c>
      <c r="M42" s="174">
        <v>106</v>
      </c>
      <c r="N42" s="174">
        <v>129</v>
      </c>
      <c r="O42" s="173">
        <v>586</v>
      </c>
      <c r="P42" s="187"/>
      <c r="Q42" s="177">
        <v>147</v>
      </c>
      <c r="R42" s="174">
        <v>135</v>
      </c>
      <c r="S42" s="174">
        <v>100</v>
      </c>
      <c r="T42" s="174">
        <v>182</v>
      </c>
      <c r="U42" s="173">
        <v>564</v>
      </c>
      <c r="V42" s="187"/>
      <c r="W42" s="177">
        <v>139</v>
      </c>
      <c r="X42" s="174">
        <v>168</v>
      </c>
      <c r="Y42" s="174">
        <v>145</v>
      </c>
      <c r="Z42" s="174">
        <v>120</v>
      </c>
      <c r="AA42" s="173">
        <v>572</v>
      </c>
      <c r="AB42" s="187"/>
      <c r="AC42" s="177">
        <v>137</v>
      </c>
      <c r="AD42" s="217">
        <v>157</v>
      </c>
      <c r="AE42" s="217">
        <v>169</v>
      </c>
      <c r="AF42" s="174">
        <v>166</v>
      </c>
      <c r="AG42" s="173">
        <v>629</v>
      </c>
      <c r="AH42" s="187"/>
      <c r="AI42" s="177">
        <v>150</v>
      </c>
      <c r="AJ42" s="217">
        <v>106</v>
      </c>
      <c r="AK42" s="217">
        <v>120</v>
      </c>
      <c r="AL42" s="174">
        <v>168</v>
      </c>
      <c r="AM42" s="173">
        <v>544</v>
      </c>
      <c r="AN42" s="187"/>
      <c r="AO42" s="206">
        <v>147</v>
      </c>
      <c r="AP42" s="217">
        <v>154</v>
      </c>
      <c r="AQ42" s="174">
        <v>141</v>
      </c>
      <c r="AR42" s="174">
        <v>163</v>
      </c>
      <c r="AS42" s="173">
        <v>605</v>
      </c>
      <c r="AT42" s="241"/>
      <c r="AU42" s="174">
        <v>342</v>
      </c>
      <c r="AV42" s="174">
        <v>182</v>
      </c>
      <c r="AW42" s="174">
        <v>211</v>
      </c>
      <c r="AX42" s="174">
        <v>296</v>
      </c>
      <c r="AY42" s="173">
        <v>1031</v>
      </c>
      <c r="AZ42" s="187"/>
      <c r="BA42" s="174">
        <v>327</v>
      </c>
      <c r="BB42" s="174">
        <v>261</v>
      </c>
      <c r="BC42" s="174">
        <v>233</v>
      </c>
      <c r="BD42" s="174">
        <v>285</v>
      </c>
      <c r="BE42" s="173">
        <v>1106</v>
      </c>
      <c r="BF42" s="174">
        <v>319</v>
      </c>
      <c r="BG42" s="174">
        <v>253</v>
      </c>
      <c r="BH42" s="174">
        <v>250</v>
      </c>
      <c r="BI42" s="174">
        <v>301</v>
      </c>
      <c r="BJ42" s="174">
        <v>1123</v>
      </c>
      <c r="BK42" s="174">
        <v>307</v>
      </c>
      <c r="BL42" s="174">
        <v>246</v>
      </c>
      <c r="BM42" s="174">
        <v>260</v>
      </c>
      <c r="BN42" s="174">
        <v>291</v>
      </c>
      <c r="BO42" s="174">
        <v>1104</v>
      </c>
      <c r="BP42" s="174">
        <v>239</v>
      </c>
      <c r="BQ42" s="364">
        <v>311</v>
      </c>
    </row>
    <row r="43" spans="1:250" ht="12.75">
      <c r="A43"/>
      <c r="B43"/>
      <c r="C43" s="14"/>
      <c r="D43"/>
      <c r="E43" s="14"/>
      <c r="F43" s="14"/>
      <c r="G43" s="14"/>
      <c r="H43" s="14"/>
      <c r="I43" s="14"/>
      <c r="J43"/>
      <c r="K43" s="14"/>
      <c r="L43" s="14"/>
      <c r="M43" s="14"/>
      <c r="N43" s="14"/>
      <c r="O43" s="14"/>
      <c r="P43"/>
      <c r="Q43" s="14"/>
      <c r="R43" s="14"/>
      <c r="S43" s="14"/>
      <c r="T43" s="14"/>
      <c r="U43" s="14"/>
      <c r="V43"/>
      <c r="W43" s="14"/>
      <c r="X43" s="14"/>
      <c r="Y43" s="14"/>
      <c r="Z43" s="14"/>
      <c r="AA43" s="14"/>
      <c r="AB43" s="14"/>
      <c r="AC43" s="14"/>
      <c r="AD43" s="188"/>
      <c r="AE43" s="188"/>
      <c r="AF43" s="14"/>
      <c r="AG43" s="14"/>
      <c r="AH43" s="14"/>
      <c r="AI43" s="188"/>
      <c r="AJ43" s="199"/>
      <c r="AK43"/>
      <c r="AL43" s="14"/>
      <c r="AM43" s="14"/>
      <c r="AN43" s="14"/>
      <c r="AO43"/>
      <c r="AP43"/>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row>
  </sheetData>
  <pageMargins left="0.7" right="0.7" top="0.75" bottom="0.75" header="0.3" footer="0.3"/>
  <pageSetup paperSize="9" scale="24" orientation="landscape" r:id="rId1"/>
  <ignoredErrors>
    <ignoredError sqref="I2 O2" numberStoredAsText="1"/>
    <ignoredError sqref="BM2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F653-6842-451D-84A9-433ECF6310B8}">
  <sheetPr>
    <pageSetUpPr fitToPage="1"/>
  </sheetPr>
  <dimension ref="A1:IL56"/>
  <sheetViews>
    <sheetView showGridLines="0" zoomScale="140" zoomScaleNormal="140" workbookViewId="0">
      <pane xSplit="3" ySplit="3" topLeftCell="AP43" activePane="bottomRight" state="frozen"/>
      <selection pane="topRight" activeCell="D1" sqref="D1"/>
      <selection pane="bottomLeft" activeCell="A4" sqref="A4"/>
      <selection pane="bottomRight" activeCell="BE10" sqref="BE10"/>
    </sheetView>
  </sheetViews>
  <sheetFormatPr defaultColWidth="8.5703125" defaultRowHeight="12" customHeight="1"/>
  <cols>
    <col min="1" max="1" width="3.5703125" style="320" customWidth="1"/>
    <col min="2" max="2" width="49.5703125" style="277" customWidth="1"/>
    <col min="3" max="3" width="0.5703125" style="277" customWidth="1"/>
    <col min="4" max="4" width="10.140625" style="267" customWidth="1"/>
    <col min="5" max="5" width="1" hidden="1" customWidth="1"/>
    <col min="6" max="6" width="9.140625" style="267" customWidth="1"/>
    <col min="7" max="7" width="1" customWidth="1"/>
    <col min="8" max="11" width="9.42578125" style="267" customWidth="1"/>
    <col min="12" max="12" width="1" customWidth="1"/>
    <col min="13" max="16" width="9.42578125" style="267" customWidth="1"/>
    <col min="17" max="17" width="1" customWidth="1"/>
    <col min="18" max="21" width="8.5703125" style="267" customWidth="1"/>
    <col min="22" max="22" width="1" customWidth="1"/>
    <col min="23" max="26" width="8.5703125" style="267" customWidth="1"/>
    <col min="27" max="27" width="1" customWidth="1"/>
    <col min="28" max="28" width="8.5703125" style="267" customWidth="1"/>
    <col min="29" max="29" width="8" style="51" customWidth="1"/>
    <col min="30" max="30" width="8" style="267" customWidth="1"/>
    <col min="31" max="31" width="8.5703125" style="267" customWidth="1"/>
    <col min="32" max="32" width="1" customWidth="1"/>
    <col min="33" max="33" width="8.5703125" style="267" customWidth="1"/>
    <col min="34" max="54" width="8.5703125" style="51" customWidth="1"/>
    <col min="55" max="114" width="8.5703125" style="267" customWidth="1"/>
    <col min="115" max="16384" width="8.5703125" style="267"/>
  </cols>
  <sheetData>
    <row r="1" spans="1:54" ht="31.5" customHeight="1">
      <c r="A1" s="572" t="s">
        <v>219</v>
      </c>
      <c r="B1" s="572"/>
    </row>
    <row r="2" spans="1:54" ht="12" customHeight="1">
      <c r="A2" s="574"/>
      <c r="B2" s="574"/>
      <c r="C2" s="372"/>
    </row>
    <row r="3" spans="1:54" ht="12" customHeight="1">
      <c r="A3" s="577" t="s">
        <v>220</v>
      </c>
      <c r="B3" s="577"/>
      <c r="C3" s="372"/>
      <c r="D3" s="215">
        <v>2014</v>
      </c>
      <c r="F3" s="215">
        <v>2015</v>
      </c>
      <c r="H3" s="215" t="s">
        <v>8</v>
      </c>
      <c r="I3" s="215" t="s">
        <v>9</v>
      </c>
      <c r="J3" s="215" t="s">
        <v>10</v>
      </c>
      <c r="K3" s="215">
        <v>2016</v>
      </c>
      <c r="M3" s="215" t="s">
        <v>16</v>
      </c>
      <c r="N3" s="215" t="s">
        <v>17</v>
      </c>
      <c r="O3" s="215" t="s">
        <v>20</v>
      </c>
      <c r="P3" s="215">
        <v>2017</v>
      </c>
      <c r="R3" s="215" t="s">
        <v>27</v>
      </c>
      <c r="S3" s="215" t="s">
        <v>29</v>
      </c>
      <c r="T3" s="215" t="s">
        <v>30</v>
      </c>
      <c r="U3" s="215">
        <v>2018</v>
      </c>
      <c r="W3" s="215" t="s">
        <v>35</v>
      </c>
      <c r="X3" s="215" t="s">
        <v>36</v>
      </c>
      <c r="Y3" s="215" t="s">
        <v>39</v>
      </c>
      <c r="Z3" s="215">
        <v>2019</v>
      </c>
      <c r="AB3" s="215" t="s">
        <v>41</v>
      </c>
      <c r="AC3" s="216" t="s">
        <v>42</v>
      </c>
      <c r="AD3" s="216" t="s">
        <v>43</v>
      </c>
      <c r="AE3" s="216">
        <v>2020</v>
      </c>
      <c r="AG3" s="216" t="s">
        <v>47</v>
      </c>
      <c r="AH3" s="216" t="s">
        <v>48</v>
      </c>
      <c r="AI3" s="216" t="s">
        <v>49</v>
      </c>
      <c r="AJ3" s="216">
        <v>2021</v>
      </c>
      <c r="AK3" s="216" t="s">
        <v>51</v>
      </c>
      <c r="AL3" s="216" t="s">
        <v>52</v>
      </c>
      <c r="AM3" s="216" t="s">
        <v>53</v>
      </c>
      <c r="AN3" s="216">
        <v>2022</v>
      </c>
      <c r="AO3" s="216" t="s">
        <v>55</v>
      </c>
      <c r="AP3" s="216" t="s">
        <v>56</v>
      </c>
      <c r="AQ3" s="216" t="s">
        <v>57</v>
      </c>
      <c r="AR3" s="216">
        <v>2023</v>
      </c>
      <c r="AS3" s="216" t="s">
        <v>64</v>
      </c>
      <c r="AT3" s="216" t="s">
        <v>68</v>
      </c>
      <c r="AU3" s="216" t="s">
        <v>70</v>
      </c>
      <c r="AV3" s="216">
        <v>2024</v>
      </c>
      <c r="AW3" s="216" t="s">
        <v>76</v>
      </c>
      <c r="AX3" s="216" t="s">
        <v>79</v>
      </c>
      <c r="AY3" s="216" t="s">
        <v>81</v>
      </c>
      <c r="AZ3" s="216">
        <v>2025</v>
      </c>
      <c r="BA3" s="216" t="s">
        <v>86</v>
      </c>
      <c r="BB3" s="216" t="s">
        <v>88</v>
      </c>
    </row>
    <row r="4" spans="1:54" ht="12.75" customHeight="1">
      <c r="A4" s="526" t="s">
        <v>221</v>
      </c>
      <c r="B4" s="497"/>
      <c r="D4" s="174">
        <v>14876</v>
      </c>
      <c r="F4" s="177">
        <v>14273</v>
      </c>
      <c r="H4" s="177">
        <v>14421</v>
      </c>
      <c r="I4" s="174">
        <v>14821</v>
      </c>
      <c r="J4" s="174">
        <v>15098</v>
      </c>
      <c r="K4" s="174">
        <v>15217</v>
      </c>
      <c r="M4" s="177">
        <v>15301</v>
      </c>
      <c r="N4" s="174">
        <v>15359</v>
      </c>
      <c r="O4" s="174">
        <v>15571</v>
      </c>
      <c r="P4" s="174">
        <v>16296</v>
      </c>
      <c r="R4" s="177">
        <v>16305</v>
      </c>
      <c r="S4" s="174">
        <v>16469</v>
      </c>
      <c r="T4" s="174">
        <v>16660</v>
      </c>
      <c r="U4" s="174">
        <v>17507</v>
      </c>
      <c r="W4" s="177">
        <v>18126</v>
      </c>
      <c r="X4" s="217">
        <v>18632</v>
      </c>
      <c r="Y4" s="217">
        <v>19221</v>
      </c>
      <c r="Z4" s="217">
        <v>19498</v>
      </c>
      <c r="AB4" s="177">
        <v>19793</v>
      </c>
      <c r="AC4" s="217">
        <v>19945</v>
      </c>
      <c r="AD4" s="217">
        <v>20291</v>
      </c>
      <c r="AE4" s="174">
        <v>20576</v>
      </c>
      <c r="AG4" s="217">
        <v>20676</v>
      </c>
      <c r="AH4" s="217">
        <v>21033</v>
      </c>
      <c r="AI4" s="217">
        <v>21296</v>
      </c>
      <c r="AJ4" s="217">
        <v>21564</v>
      </c>
      <c r="AK4" s="217">
        <v>21414</v>
      </c>
      <c r="AL4" s="217">
        <v>22181</v>
      </c>
      <c r="AM4" s="217">
        <v>22768</v>
      </c>
      <c r="AN4" s="217">
        <v>22894</v>
      </c>
      <c r="AO4" s="217">
        <v>22957</v>
      </c>
      <c r="AP4" s="217">
        <v>23069</v>
      </c>
      <c r="AQ4" s="217">
        <v>23692</v>
      </c>
      <c r="AR4" s="217">
        <v>20798</v>
      </c>
      <c r="AS4" s="217">
        <v>21140</v>
      </c>
      <c r="AT4" s="217">
        <v>21858</v>
      </c>
      <c r="AU4" s="217">
        <v>22767</v>
      </c>
      <c r="AV4" s="217">
        <v>24050</v>
      </c>
      <c r="AW4" s="217">
        <v>24218</v>
      </c>
      <c r="AX4" s="217">
        <v>24266</v>
      </c>
      <c r="AY4" s="217">
        <v>24770</v>
      </c>
      <c r="AZ4" s="217">
        <v>25711</v>
      </c>
      <c r="BA4" s="217">
        <v>25909</v>
      </c>
      <c r="BB4" s="340">
        <v>26433</v>
      </c>
    </row>
    <row r="5" spans="1:54" ht="12" customHeight="1">
      <c r="A5" s="526" t="s">
        <v>222</v>
      </c>
      <c r="B5" s="497"/>
      <c r="D5" s="174">
        <v>2700</v>
      </c>
      <c r="F5" s="177">
        <v>3130</v>
      </c>
      <c r="H5" s="177">
        <v>3199</v>
      </c>
      <c r="I5" s="174">
        <v>3301</v>
      </c>
      <c r="J5" s="174">
        <v>3298</v>
      </c>
      <c r="K5" s="174">
        <v>2474</v>
      </c>
      <c r="M5" s="177">
        <v>2395</v>
      </c>
      <c r="N5" s="174">
        <v>2309</v>
      </c>
      <c r="O5" s="174">
        <v>2325</v>
      </c>
      <c r="P5" s="174">
        <v>1447</v>
      </c>
      <c r="R5" s="177">
        <v>1456</v>
      </c>
      <c r="S5" s="174">
        <v>1557</v>
      </c>
      <c r="T5" s="174">
        <v>1628</v>
      </c>
      <c r="U5" s="174">
        <v>1657</v>
      </c>
      <c r="W5" s="177">
        <v>1654</v>
      </c>
      <c r="X5" s="217">
        <v>1715</v>
      </c>
      <c r="Y5" s="217">
        <v>1826</v>
      </c>
      <c r="Z5" s="217">
        <v>1966</v>
      </c>
      <c r="AB5" s="177">
        <v>2197</v>
      </c>
      <c r="AC5" s="217">
        <v>2076</v>
      </c>
      <c r="AD5" s="217">
        <v>2048</v>
      </c>
      <c r="AE5" s="174">
        <v>2024</v>
      </c>
      <c r="AG5" s="217">
        <v>2120</v>
      </c>
      <c r="AH5" s="217">
        <v>1875</v>
      </c>
      <c r="AI5" s="217">
        <v>1989</v>
      </c>
      <c r="AJ5" s="217">
        <v>2316</v>
      </c>
      <c r="AK5" s="217">
        <v>2370</v>
      </c>
      <c r="AL5" s="217">
        <v>2647</v>
      </c>
      <c r="AM5" s="217">
        <v>2905</v>
      </c>
      <c r="AN5" s="217">
        <v>2772</v>
      </c>
      <c r="AO5" s="217">
        <v>2858</v>
      </c>
      <c r="AP5" s="217">
        <v>2891</v>
      </c>
      <c r="AQ5" s="217">
        <v>3081</v>
      </c>
      <c r="AR5" s="217">
        <v>2697</v>
      </c>
      <c r="AS5" s="217">
        <v>2765</v>
      </c>
      <c r="AT5" s="217">
        <v>2585</v>
      </c>
      <c r="AU5" s="217">
        <v>2576</v>
      </c>
      <c r="AV5" s="217">
        <v>2830</v>
      </c>
      <c r="AW5" s="217">
        <v>2790</v>
      </c>
      <c r="AX5" s="217">
        <v>3030</v>
      </c>
      <c r="AY5" s="217">
        <v>2748</v>
      </c>
      <c r="AZ5" s="217">
        <v>2799</v>
      </c>
      <c r="BA5" s="217">
        <v>2936</v>
      </c>
      <c r="BB5" s="340">
        <v>3038</v>
      </c>
    </row>
    <row r="6" spans="1:54" ht="12" customHeight="1">
      <c r="A6" s="573" t="s">
        <v>223</v>
      </c>
      <c r="B6" s="573"/>
      <c r="D6" s="174">
        <v>17576</v>
      </c>
      <c r="F6" s="177">
        <f>F4+F5</f>
        <v>17403</v>
      </c>
      <c r="H6" s="177">
        <f>H4+H5</f>
        <v>17620</v>
      </c>
      <c r="I6" s="174">
        <f>I4+I5</f>
        <v>18122</v>
      </c>
      <c r="J6" s="174">
        <f>J4+J5</f>
        <v>18396</v>
      </c>
      <c r="K6" s="174">
        <f>K4+K5</f>
        <v>17691</v>
      </c>
      <c r="M6" s="177">
        <f>M4+M5</f>
        <v>17696</v>
      </c>
      <c r="N6" s="174">
        <f>N4+N5</f>
        <v>17668</v>
      </c>
      <c r="O6" s="174">
        <v>17896</v>
      </c>
      <c r="P6" s="174">
        <f>SUM(P4:P5)</f>
        <v>17743</v>
      </c>
      <c r="R6" s="177">
        <f>R4+R5</f>
        <v>17761</v>
      </c>
      <c r="S6" s="174">
        <f>S4+S5</f>
        <v>18026</v>
      </c>
      <c r="T6" s="174">
        <f>T4+T5</f>
        <v>18288</v>
      </c>
      <c r="U6" s="174">
        <f>U4+U5</f>
        <v>19164</v>
      </c>
      <c r="W6" s="177">
        <f>W4+W5</f>
        <v>19780</v>
      </c>
      <c r="X6" s="217">
        <v>20347</v>
      </c>
      <c r="Y6" s="217">
        <f>Y4+Y5</f>
        <v>21047</v>
      </c>
      <c r="Z6" s="217">
        <v>21464</v>
      </c>
      <c r="AB6" s="177">
        <v>21990</v>
      </c>
      <c r="AC6" s="217">
        <v>22021</v>
      </c>
      <c r="AD6" s="217">
        <v>22339</v>
      </c>
      <c r="AE6" s="174">
        <v>22600</v>
      </c>
      <c r="AG6" s="217">
        <v>22796</v>
      </c>
      <c r="AH6" s="217">
        <v>22908</v>
      </c>
      <c r="AI6" s="217">
        <v>23285</v>
      </c>
      <c r="AJ6" s="217">
        <v>23880</v>
      </c>
      <c r="AK6" s="217">
        <v>23784</v>
      </c>
      <c r="AL6" s="217">
        <v>24828</v>
      </c>
      <c r="AM6" s="217">
        <v>25673</v>
      </c>
      <c r="AN6" s="217">
        <v>25666</v>
      </c>
      <c r="AO6" s="217">
        <v>25815</v>
      </c>
      <c r="AP6" s="217">
        <v>25960</v>
      </c>
      <c r="AQ6" s="217">
        <v>26773</v>
      </c>
      <c r="AR6" s="217">
        <v>23495</v>
      </c>
      <c r="AS6" s="217">
        <v>23905</v>
      </c>
      <c r="AT6" s="217">
        <v>24443</v>
      </c>
      <c r="AU6" s="217">
        <v>25343</v>
      </c>
      <c r="AV6" s="217">
        <v>26880</v>
      </c>
      <c r="AW6" s="217">
        <v>27008</v>
      </c>
      <c r="AX6" s="217">
        <f>AX4+AX5</f>
        <v>27296</v>
      </c>
      <c r="AY6" s="217">
        <v>27518</v>
      </c>
      <c r="AZ6" s="217">
        <v>28510</v>
      </c>
      <c r="BA6" s="217">
        <v>28845</v>
      </c>
      <c r="BB6" s="340">
        <v>29471</v>
      </c>
    </row>
    <row r="7" spans="1:54" ht="12" customHeight="1">
      <c r="A7" s="526" t="s">
        <v>224</v>
      </c>
      <c r="B7" s="497"/>
      <c r="D7" s="174">
        <v>2745</v>
      </c>
      <c r="F7" s="177">
        <v>2653</v>
      </c>
      <c r="H7" s="177">
        <v>2776</v>
      </c>
      <c r="I7" s="174">
        <v>2828</v>
      </c>
      <c r="J7" s="174">
        <v>2707</v>
      </c>
      <c r="K7" s="174">
        <v>2591</v>
      </c>
      <c r="M7" s="177">
        <v>2543</v>
      </c>
      <c r="N7" s="174">
        <v>2599</v>
      </c>
      <c r="O7" s="174">
        <v>2632</v>
      </c>
      <c r="P7" s="174">
        <v>2679</v>
      </c>
      <c r="R7" s="177">
        <v>2682</v>
      </c>
      <c r="S7" s="174">
        <v>2746</v>
      </c>
      <c r="T7" s="174">
        <v>2725</v>
      </c>
      <c r="U7" s="174">
        <v>2789</v>
      </c>
      <c r="W7" s="177">
        <v>2930</v>
      </c>
      <c r="X7" s="217">
        <v>2945</v>
      </c>
      <c r="Y7" s="217">
        <v>2968</v>
      </c>
      <c r="Z7" s="217">
        <v>2829</v>
      </c>
      <c r="AB7" s="177">
        <v>2852</v>
      </c>
      <c r="AC7" s="217">
        <v>2779</v>
      </c>
      <c r="AD7" s="217">
        <v>2795</v>
      </c>
      <c r="AE7" s="174">
        <v>2857</v>
      </c>
      <c r="AG7" s="217">
        <v>2853</v>
      </c>
      <c r="AH7" s="217">
        <v>2748</v>
      </c>
      <c r="AI7" s="217">
        <v>2896</v>
      </c>
      <c r="AJ7" s="217">
        <v>2593</v>
      </c>
      <c r="AK7" s="217">
        <v>2646</v>
      </c>
      <c r="AL7" s="217">
        <v>2678</v>
      </c>
      <c r="AM7" s="217">
        <v>2792</v>
      </c>
      <c r="AN7" s="217">
        <v>2746</v>
      </c>
      <c r="AO7" s="217">
        <v>2713</v>
      </c>
      <c r="AP7" s="217">
        <v>2731</v>
      </c>
      <c r="AQ7" s="217">
        <v>2812</v>
      </c>
      <c r="AR7" s="217">
        <v>2941</v>
      </c>
      <c r="AS7" s="217">
        <v>3219</v>
      </c>
      <c r="AT7" s="217">
        <v>3266</v>
      </c>
      <c r="AU7" s="217">
        <v>3161</v>
      </c>
      <c r="AV7" s="217">
        <v>3087</v>
      </c>
      <c r="AW7" s="217">
        <v>3136</v>
      </c>
      <c r="AX7" s="217">
        <v>3136</v>
      </c>
      <c r="AY7" s="217">
        <v>3202</v>
      </c>
      <c r="AZ7" s="217">
        <v>3089</v>
      </c>
      <c r="BA7" s="217">
        <v>3146</v>
      </c>
      <c r="BB7" s="340">
        <v>3235</v>
      </c>
    </row>
    <row r="8" spans="1:54" ht="12" customHeight="1">
      <c r="A8" s="526" t="s">
        <v>225</v>
      </c>
      <c r="B8" s="497"/>
      <c r="D8" s="174">
        <v>218</v>
      </c>
      <c r="F8" s="177">
        <v>241</v>
      </c>
      <c r="H8" s="177">
        <v>202</v>
      </c>
      <c r="I8" s="174">
        <v>236</v>
      </c>
      <c r="J8" s="174">
        <v>197</v>
      </c>
      <c r="K8" s="174">
        <v>208</v>
      </c>
      <c r="M8" s="177">
        <v>222</v>
      </c>
      <c r="N8" s="174">
        <v>202</v>
      </c>
      <c r="O8" s="174">
        <v>201</v>
      </c>
      <c r="P8" s="174">
        <v>209</v>
      </c>
      <c r="R8" s="177">
        <v>221</v>
      </c>
      <c r="S8" s="174">
        <v>207</v>
      </c>
      <c r="T8" s="174">
        <v>207</v>
      </c>
      <c r="U8" s="174">
        <v>224</v>
      </c>
      <c r="W8" s="177">
        <v>287</v>
      </c>
      <c r="X8" s="217">
        <v>155</v>
      </c>
      <c r="Y8" s="217">
        <v>155</v>
      </c>
      <c r="Z8" s="217">
        <v>155</v>
      </c>
      <c r="AB8" s="177">
        <v>178</v>
      </c>
      <c r="AC8" s="217">
        <v>134</v>
      </c>
      <c r="AD8" s="217">
        <v>133</v>
      </c>
      <c r="AE8" s="174">
        <v>141</v>
      </c>
      <c r="AG8" s="217">
        <v>163</v>
      </c>
      <c r="AH8" s="217">
        <v>110</v>
      </c>
      <c r="AI8" s="217">
        <v>141</v>
      </c>
      <c r="AJ8" s="217">
        <v>250</v>
      </c>
      <c r="AK8" s="217">
        <v>277</v>
      </c>
      <c r="AL8" s="217">
        <v>173</v>
      </c>
      <c r="AM8" s="217">
        <v>209</v>
      </c>
      <c r="AN8" s="217">
        <v>218</v>
      </c>
      <c r="AO8" s="217">
        <v>292</v>
      </c>
      <c r="AP8" s="217">
        <v>193</v>
      </c>
      <c r="AQ8" s="217">
        <v>224</v>
      </c>
      <c r="AR8" s="217">
        <v>313</v>
      </c>
      <c r="AS8" s="217">
        <v>328</v>
      </c>
      <c r="AT8" s="217">
        <v>337</v>
      </c>
      <c r="AU8" s="217">
        <v>202</v>
      </c>
      <c r="AV8" s="217">
        <v>213</v>
      </c>
      <c r="AW8" s="217">
        <v>232</v>
      </c>
      <c r="AX8" s="217">
        <v>264</v>
      </c>
      <c r="AY8" s="217">
        <v>163</v>
      </c>
      <c r="AZ8" s="217">
        <v>181</v>
      </c>
      <c r="BA8" s="217">
        <v>286</v>
      </c>
      <c r="BB8" s="340">
        <v>270</v>
      </c>
    </row>
    <row r="9" spans="1:54" ht="12" customHeight="1">
      <c r="A9" s="575" t="s">
        <v>226</v>
      </c>
      <c r="B9" s="575"/>
      <c r="C9" s="313"/>
      <c r="D9" s="174">
        <v>2963</v>
      </c>
      <c r="F9" s="177">
        <f>F7+F8</f>
        <v>2894</v>
      </c>
      <c r="H9" s="177">
        <f>H7+H8</f>
        <v>2978</v>
      </c>
      <c r="I9" s="174">
        <f>I7+I8</f>
        <v>3064</v>
      </c>
      <c r="J9" s="174">
        <f>J7+J8</f>
        <v>2904</v>
      </c>
      <c r="K9" s="174">
        <f>K7+K8</f>
        <v>2799</v>
      </c>
      <c r="M9" s="177">
        <f>M7+M8</f>
        <v>2765</v>
      </c>
      <c r="N9" s="174">
        <f>N7+N8</f>
        <v>2801</v>
      </c>
      <c r="O9" s="174">
        <v>2833</v>
      </c>
      <c r="P9" s="174">
        <f>SUM(P7:P8)</f>
        <v>2888</v>
      </c>
      <c r="R9" s="177">
        <f>R7+R8</f>
        <v>2903</v>
      </c>
      <c r="S9" s="174">
        <f>S7+S8</f>
        <v>2953</v>
      </c>
      <c r="T9" s="174">
        <f>T7+T8</f>
        <v>2932</v>
      </c>
      <c r="U9" s="174">
        <f>U7+U8</f>
        <v>3013</v>
      </c>
      <c r="W9" s="177">
        <f>W7+W8</f>
        <v>3217</v>
      </c>
      <c r="X9" s="217">
        <v>3100</v>
      </c>
      <c r="Y9" s="217">
        <f>Y7+Y8</f>
        <v>3123</v>
      </c>
      <c r="Z9" s="217">
        <v>2984</v>
      </c>
      <c r="AB9" s="177">
        <v>3030</v>
      </c>
      <c r="AC9" s="217">
        <v>2913</v>
      </c>
      <c r="AD9" s="217">
        <v>2928</v>
      </c>
      <c r="AE9" s="174">
        <v>2998</v>
      </c>
      <c r="AG9" s="217">
        <v>3016</v>
      </c>
      <c r="AH9" s="217">
        <v>2858</v>
      </c>
      <c r="AI9" s="217">
        <v>3037</v>
      </c>
      <c r="AJ9" s="217">
        <v>2843</v>
      </c>
      <c r="AK9" s="217">
        <v>2923</v>
      </c>
      <c r="AL9" s="217">
        <v>2851</v>
      </c>
      <c r="AM9" s="217">
        <v>3001</v>
      </c>
      <c r="AN9" s="217">
        <v>2964</v>
      </c>
      <c r="AO9" s="217">
        <v>3005</v>
      </c>
      <c r="AP9" s="217">
        <v>2924</v>
      </c>
      <c r="AQ9" s="217">
        <v>3036</v>
      </c>
      <c r="AR9" s="217">
        <v>3254</v>
      </c>
      <c r="AS9" s="217">
        <v>3547</v>
      </c>
      <c r="AT9" s="217">
        <v>3603</v>
      </c>
      <c r="AU9" s="217">
        <v>3363</v>
      </c>
      <c r="AV9" s="217">
        <v>3300</v>
      </c>
      <c r="AW9" s="217">
        <v>3368</v>
      </c>
      <c r="AX9" s="217">
        <v>3400</v>
      </c>
      <c r="AY9" s="217">
        <v>3365</v>
      </c>
      <c r="AZ9" s="217">
        <v>3270</v>
      </c>
      <c r="BA9" s="217">
        <v>3432</v>
      </c>
      <c r="BB9" s="340">
        <v>3505</v>
      </c>
    </row>
    <row r="10" spans="1:54" ht="12" customHeight="1">
      <c r="A10" s="526" t="s">
        <v>227</v>
      </c>
      <c r="B10" s="497"/>
      <c r="D10" s="174">
        <v>4363</v>
      </c>
      <c r="F10" s="177">
        <v>562</v>
      </c>
      <c r="H10" s="177">
        <v>498</v>
      </c>
      <c r="I10" s="174">
        <v>333</v>
      </c>
      <c r="J10" s="174">
        <v>73</v>
      </c>
      <c r="K10" s="174">
        <v>27</v>
      </c>
      <c r="M10" s="177">
        <v>27</v>
      </c>
      <c r="N10" s="174">
        <v>26</v>
      </c>
      <c r="O10" s="174">
        <v>26</v>
      </c>
      <c r="P10" s="174">
        <v>8</v>
      </c>
      <c r="R10" s="177">
        <v>8</v>
      </c>
      <c r="S10" s="174">
        <v>6</v>
      </c>
      <c r="T10" s="174">
        <v>5</v>
      </c>
      <c r="U10" s="174">
        <v>4</v>
      </c>
      <c r="W10" s="177">
        <v>4</v>
      </c>
      <c r="X10" s="217">
        <v>4</v>
      </c>
      <c r="Y10" s="217">
        <v>4</v>
      </c>
      <c r="Z10" s="217">
        <v>0</v>
      </c>
      <c r="AB10" s="177">
        <v>0</v>
      </c>
      <c r="AC10" s="217">
        <v>0</v>
      </c>
      <c r="AD10" s="217">
        <v>0</v>
      </c>
      <c r="AE10" s="174">
        <v>0</v>
      </c>
      <c r="AG10" s="217">
        <v>0</v>
      </c>
      <c r="AH10" s="217">
        <v>0</v>
      </c>
      <c r="AI10" s="217">
        <v>0</v>
      </c>
      <c r="AJ10" s="217">
        <v>0</v>
      </c>
      <c r="AK10" s="217">
        <v>0</v>
      </c>
      <c r="AL10" s="217">
        <v>0</v>
      </c>
      <c r="AM10" s="217">
        <v>0</v>
      </c>
      <c r="AN10" s="217">
        <v>0</v>
      </c>
      <c r="AO10" s="217">
        <v>0</v>
      </c>
      <c r="AP10" s="217">
        <v>0</v>
      </c>
      <c r="AQ10" s="217">
        <v>0</v>
      </c>
      <c r="AR10" s="217">
        <v>0</v>
      </c>
      <c r="AS10" s="217">
        <v>0</v>
      </c>
      <c r="AT10" s="217">
        <v>0</v>
      </c>
      <c r="AU10" s="217">
        <v>0</v>
      </c>
      <c r="AV10" s="217">
        <v>0</v>
      </c>
      <c r="AW10" s="217">
        <v>0</v>
      </c>
      <c r="AX10" s="217">
        <v>0</v>
      </c>
      <c r="AY10" s="217">
        <v>0</v>
      </c>
      <c r="AZ10" s="217">
        <v>1814</v>
      </c>
      <c r="BA10" s="217">
        <v>2112</v>
      </c>
      <c r="BB10" s="340">
        <v>2493</v>
      </c>
    </row>
    <row r="11" spans="1:54" ht="12" customHeight="1">
      <c r="A11" s="526" t="s">
        <v>202</v>
      </c>
      <c r="B11" s="497"/>
      <c r="D11" s="174">
        <v>6231</v>
      </c>
      <c r="F11" s="177">
        <v>7504</v>
      </c>
      <c r="H11" s="177">
        <v>7377</v>
      </c>
      <c r="I11" s="174">
        <v>7966</v>
      </c>
      <c r="J11" s="174">
        <v>7874</v>
      </c>
      <c r="K11" s="174">
        <v>4313</v>
      </c>
      <c r="M11" s="177">
        <v>4152</v>
      </c>
      <c r="N11" s="174">
        <v>3978</v>
      </c>
      <c r="O11" s="174">
        <v>3999</v>
      </c>
      <c r="P11" s="174">
        <v>3889</v>
      </c>
      <c r="R11" s="177">
        <v>3895</v>
      </c>
      <c r="S11" s="174">
        <v>4316</v>
      </c>
      <c r="T11" s="174">
        <v>4303</v>
      </c>
      <c r="U11" s="174">
        <v>5199</v>
      </c>
      <c r="W11" s="177">
        <v>5389</v>
      </c>
      <c r="X11" s="217">
        <v>5327</v>
      </c>
      <c r="Y11" s="217">
        <v>5796</v>
      </c>
      <c r="Z11" s="217">
        <v>5694</v>
      </c>
      <c r="AB11" s="177">
        <v>6317</v>
      </c>
      <c r="AC11" s="217">
        <v>6159</v>
      </c>
      <c r="AD11" s="217">
        <v>6075</v>
      </c>
      <c r="AE11" s="174">
        <v>6069</v>
      </c>
      <c r="AG11" s="217">
        <v>6508</v>
      </c>
      <c r="AH11" s="217">
        <v>7992</v>
      </c>
      <c r="AI11" s="217">
        <v>8521</v>
      </c>
      <c r="AJ11" s="217">
        <v>7867</v>
      </c>
      <c r="AK11" s="217">
        <v>8348</v>
      </c>
      <c r="AL11" s="217">
        <v>9438</v>
      </c>
      <c r="AM11" s="217">
        <v>10591</v>
      </c>
      <c r="AN11" s="217">
        <v>9603</v>
      </c>
      <c r="AO11" s="217">
        <v>9511</v>
      </c>
      <c r="AP11" s="217">
        <v>9635</v>
      </c>
      <c r="AQ11" s="217">
        <v>10349</v>
      </c>
      <c r="AR11" s="217">
        <v>9096</v>
      </c>
      <c r="AS11" s="217">
        <v>9364</v>
      </c>
      <c r="AT11" s="217">
        <v>9162</v>
      </c>
      <c r="AU11" s="217">
        <v>8801</v>
      </c>
      <c r="AV11" s="217">
        <v>9800</v>
      </c>
      <c r="AW11" s="217">
        <v>9210</v>
      </c>
      <c r="AX11" s="217">
        <v>8663</v>
      </c>
      <c r="AY11" s="217">
        <v>8482</v>
      </c>
      <c r="AZ11" s="217">
        <v>8436</v>
      </c>
      <c r="BA11" s="217">
        <v>8382</v>
      </c>
      <c r="BB11" s="340">
        <v>8688</v>
      </c>
    </row>
    <row r="12" spans="1:54" ht="10.5" customHeight="1">
      <c r="A12" s="573" t="s">
        <v>228</v>
      </c>
      <c r="B12" s="573"/>
      <c r="D12" s="174">
        <v>10594</v>
      </c>
      <c r="F12" s="177">
        <f>F10+F11</f>
        <v>8066</v>
      </c>
      <c r="H12" s="177">
        <f>H10+H11</f>
        <v>7875</v>
      </c>
      <c r="I12" s="174">
        <f>I10+I11</f>
        <v>8299</v>
      </c>
      <c r="J12" s="174">
        <f>J10+J11</f>
        <v>7947</v>
      </c>
      <c r="K12" s="174">
        <f>K11+K10</f>
        <v>4340</v>
      </c>
      <c r="M12" s="177">
        <f>M10+M11</f>
        <v>4179</v>
      </c>
      <c r="N12" s="174">
        <v>4004</v>
      </c>
      <c r="O12" s="174">
        <v>4025</v>
      </c>
      <c r="P12" s="174">
        <f>SUM(P10:P11)</f>
        <v>3897</v>
      </c>
      <c r="R12" s="177">
        <f>R10+R11</f>
        <v>3903</v>
      </c>
      <c r="S12" s="174">
        <f>S10+S11</f>
        <v>4322</v>
      </c>
      <c r="T12" s="174">
        <f>T10+T11</f>
        <v>4308</v>
      </c>
      <c r="U12" s="174">
        <f>U10+U11</f>
        <v>5203</v>
      </c>
      <c r="W12" s="177">
        <f>W10+W11</f>
        <v>5393</v>
      </c>
      <c r="X12" s="217">
        <v>5331</v>
      </c>
      <c r="Y12" s="217">
        <f>Y10+Y11</f>
        <v>5800</v>
      </c>
      <c r="Z12" s="217">
        <v>5694</v>
      </c>
      <c r="AB12" s="177">
        <v>6317</v>
      </c>
      <c r="AC12" s="217">
        <v>6159</v>
      </c>
      <c r="AD12" s="217">
        <v>6075</v>
      </c>
      <c r="AE12" s="174">
        <v>6069</v>
      </c>
      <c r="AG12" s="217">
        <v>6508</v>
      </c>
      <c r="AH12" s="217">
        <v>7992</v>
      </c>
      <c r="AI12" s="217">
        <v>8521</v>
      </c>
      <c r="AJ12" s="217">
        <v>7867</v>
      </c>
      <c r="AK12" s="217">
        <v>8348</v>
      </c>
      <c r="AL12" s="217">
        <v>9438</v>
      </c>
      <c r="AM12" s="217">
        <v>10591</v>
      </c>
      <c r="AN12" s="217">
        <v>9603</v>
      </c>
      <c r="AO12" s="217">
        <v>9511</v>
      </c>
      <c r="AP12" s="217">
        <v>9635</v>
      </c>
      <c r="AQ12" s="217">
        <v>10349</v>
      </c>
      <c r="AR12" s="217">
        <v>9096</v>
      </c>
      <c r="AS12" s="217">
        <v>9364</v>
      </c>
      <c r="AT12" s="217">
        <v>9162</v>
      </c>
      <c r="AU12" s="217">
        <v>8801</v>
      </c>
      <c r="AV12" s="217">
        <v>9800</v>
      </c>
      <c r="AW12" s="217">
        <v>9210</v>
      </c>
      <c r="AX12" s="217">
        <v>8663</v>
      </c>
      <c r="AY12" s="217">
        <v>8482</v>
      </c>
      <c r="AZ12" s="217">
        <v>10250</v>
      </c>
      <c r="BA12" s="217">
        <v>10494</v>
      </c>
      <c r="BB12" s="340">
        <v>11181</v>
      </c>
    </row>
    <row r="13" spans="1:54" ht="12" customHeight="1">
      <c r="A13" s="526" t="s">
        <v>229</v>
      </c>
      <c r="B13" s="497"/>
      <c r="D13" s="174">
        <v>214</v>
      </c>
      <c r="F13" s="177">
        <v>117</v>
      </c>
      <c r="H13" s="177">
        <v>133</v>
      </c>
      <c r="I13" s="174">
        <v>67</v>
      </c>
      <c r="J13" s="174">
        <v>58</v>
      </c>
      <c r="K13" s="174">
        <v>237</v>
      </c>
      <c r="M13" s="177">
        <v>162</v>
      </c>
      <c r="N13" s="174">
        <v>137</v>
      </c>
      <c r="O13" s="174">
        <v>183</v>
      </c>
      <c r="P13" s="174">
        <v>110</v>
      </c>
      <c r="R13" s="177">
        <v>213</v>
      </c>
      <c r="S13" s="174">
        <v>329</v>
      </c>
      <c r="T13" s="174">
        <v>399</v>
      </c>
      <c r="U13" s="174">
        <v>320</v>
      </c>
      <c r="W13" s="177">
        <v>250</v>
      </c>
      <c r="X13" s="217">
        <v>258</v>
      </c>
      <c r="Y13" s="217">
        <v>162</v>
      </c>
      <c r="Z13" s="217">
        <v>124</v>
      </c>
      <c r="AB13" s="177">
        <v>24</v>
      </c>
      <c r="AC13" s="217">
        <v>243</v>
      </c>
      <c r="AD13" s="217">
        <v>864</v>
      </c>
      <c r="AE13" s="174">
        <v>789</v>
      </c>
      <c r="AG13" s="217">
        <v>606</v>
      </c>
      <c r="AH13" s="217">
        <v>574</v>
      </c>
      <c r="AI13" s="217">
        <v>580</v>
      </c>
      <c r="AJ13" s="217">
        <v>595</v>
      </c>
      <c r="AK13" s="217">
        <v>536</v>
      </c>
      <c r="AL13" s="217">
        <v>814</v>
      </c>
      <c r="AM13" s="217">
        <v>876</v>
      </c>
      <c r="AN13" s="217">
        <v>714</v>
      </c>
      <c r="AO13" s="217">
        <v>602</v>
      </c>
      <c r="AP13" s="217">
        <v>544</v>
      </c>
      <c r="AQ13" s="217">
        <v>324</v>
      </c>
      <c r="AR13" s="217">
        <v>233</v>
      </c>
      <c r="AS13" s="217">
        <v>204</v>
      </c>
      <c r="AT13" s="217">
        <v>234</v>
      </c>
      <c r="AU13" s="217">
        <v>230</v>
      </c>
      <c r="AV13" s="217">
        <v>286</v>
      </c>
      <c r="AW13" s="217">
        <v>266</v>
      </c>
      <c r="AX13" s="217">
        <v>297</v>
      </c>
      <c r="AY13" s="217">
        <v>180</v>
      </c>
      <c r="AZ13" s="217">
        <v>168</v>
      </c>
      <c r="BA13" s="217">
        <v>770</v>
      </c>
      <c r="BB13" s="340">
        <v>1138</v>
      </c>
    </row>
    <row r="14" spans="1:54" ht="12" customHeight="1">
      <c r="A14" s="526" t="s">
        <v>230</v>
      </c>
      <c r="B14" s="497"/>
      <c r="D14" s="174">
        <v>931</v>
      </c>
      <c r="F14" s="177">
        <v>579</v>
      </c>
      <c r="H14" s="177">
        <v>602</v>
      </c>
      <c r="I14" s="174">
        <v>571</v>
      </c>
      <c r="J14" s="174">
        <v>528</v>
      </c>
      <c r="K14" s="174">
        <v>577</v>
      </c>
      <c r="M14" s="177">
        <v>677</v>
      </c>
      <c r="N14" s="174">
        <v>712</v>
      </c>
      <c r="O14" s="174">
        <v>742</v>
      </c>
      <c r="P14" s="174">
        <v>614</v>
      </c>
      <c r="R14" s="177">
        <v>553</v>
      </c>
      <c r="S14" s="174">
        <v>527</v>
      </c>
      <c r="T14" s="174">
        <v>438</v>
      </c>
      <c r="U14" s="174">
        <v>541</v>
      </c>
      <c r="W14" s="177">
        <v>520</v>
      </c>
      <c r="X14" s="217">
        <v>463</v>
      </c>
      <c r="Y14" s="217">
        <v>428</v>
      </c>
      <c r="Z14" s="217">
        <v>448</v>
      </c>
      <c r="AB14" s="177">
        <v>345</v>
      </c>
      <c r="AC14" s="217">
        <v>581</v>
      </c>
      <c r="AD14" s="217">
        <v>532</v>
      </c>
      <c r="AE14" s="174">
        <v>636</v>
      </c>
      <c r="AG14" s="217">
        <v>616</v>
      </c>
      <c r="AH14" s="217">
        <v>755</v>
      </c>
      <c r="AI14" s="217">
        <v>750</v>
      </c>
      <c r="AJ14" s="217">
        <v>637</v>
      </c>
      <c r="AK14" s="217">
        <v>687</v>
      </c>
      <c r="AL14" s="217">
        <v>848</v>
      </c>
      <c r="AM14" s="217">
        <v>587</v>
      </c>
      <c r="AN14" s="217">
        <v>606</v>
      </c>
      <c r="AO14" s="217">
        <v>577</v>
      </c>
      <c r="AP14" s="217">
        <v>719</v>
      </c>
      <c r="AQ14" s="217">
        <v>875</v>
      </c>
      <c r="AR14" s="217">
        <v>905</v>
      </c>
      <c r="AS14" s="217">
        <v>781</v>
      </c>
      <c r="AT14" s="217">
        <v>937</v>
      </c>
      <c r="AU14" s="217">
        <v>805</v>
      </c>
      <c r="AV14" s="217">
        <v>883</v>
      </c>
      <c r="AW14" s="217">
        <v>1119</v>
      </c>
      <c r="AX14" s="217">
        <v>1751</v>
      </c>
      <c r="AY14" s="217">
        <v>1860</v>
      </c>
      <c r="AZ14" s="217">
        <v>1792</v>
      </c>
      <c r="BA14" s="217">
        <v>2088</v>
      </c>
      <c r="BB14" s="340">
        <v>1878</v>
      </c>
    </row>
    <row r="15" spans="1:54" ht="12" customHeight="1">
      <c r="A15" s="526" t="s">
        <v>231</v>
      </c>
      <c r="B15" s="497"/>
      <c r="D15" s="174">
        <v>627</v>
      </c>
      <c r="F15" s="177">
        <v>735</v>
      </c>
      <c r="H15" s="177">
        <v>787</v>
      </c>
      <c r="I15" s="174">
        <v>859</v>
      </c>
      <c r="J15" s="174">
        <v>826</v>
      </c>
      <c r="K15" s="174">
        <v>930</v>
      </c>
      <c r="M15" s="177">
        <v>929</v>
      </c>
      <c r="N15" s="174">
        <v>916</v>
      </c>
      <c r="O15" s="174">
        <v>940</v>
      </c>
      <c r="P15" s="174">
        <v>762</v>
      </c>
      <c r="R15" s="177">
        <v>804</v>
      </c>
      <c r="S15" s="174">
        <v>781</v>
      </c>
      <c r="T15" s="174">
        <v>778</v>
      </c>
      <c r="U15" s="174">
        <v>716</v>
      </c>
      <c r="W15" s="177">
        <v>757</v>
      </c>
      <c r="X15" s="217">
        <v>751</v>
      </c>
      <c r="Y15" s="217">
        <v>783</v>
      </c>
      <c r="Z15" s="217">
        <v>656</v>
      </c>
      <c r="AB15" s="177">
        <v>688</v>
      </c>
      <c r="AC15" s="217">
        <v>710</v>
      </c>
      <c r="AD15" s="217">
        <v>699</v>
      </c>
      <c r="AE15" s="174">
        <v>601</v>
      </c>
      <c r="AG15" s="217">
        <v>623</v>
      </c>
      <c r="AH15" s="217">
        <v>501</v>
      </c>
      <c r="AI15" s="217">
        <v>505</v>
      </c>
      <c r="AJ15" s="217">
        <v>496</v>
      </c>
      <c r="AK15" s="217">
        <v>540</v>
      </c>
      <c r="AL15" s="217">
        <v>538</v>
      </c>
      <c r="AM15" s="217">
        <v>490</v>
      </c>
      <c r="AN15" s="217">
        <v>469</v>
      </c>
      <c r="AO15" s="217">
        <v>480</v>
      </c>
      <c r="AP15" s="217">
        <v>473</v>
      </c>
      <c r="AQ15" s="217">
        <v>486</v>
      </c>
      <c r="AR15" s="217">
        <v>475</v>
      </c>
      <c r="AS15" s="217">
        <v>505</v>
      </c>
      <c r="AT15" s="217">
        <v>512</v>
      </c>
      <c r="AU15" s="217">
        <v>558</v>
      </c>
      <c r="AV15" s="217">
        <v>557</v>
      </c>
      <c r="AW15" s="217">
        <v>562</v>
      </c>
      <c r="AX15" s="217">
        <v>559</v>
      </c>
      <c r="AY15" s="217">
        <v>571</v>
      </c>
      <c r="AZ15" s="217">
        <v>566</v>
      </c>
      <c r="BA15" s="217">
        <v>599</v>
      </c>
      <c r="BB15" s="340">
        <v>604</v>
      </c>
    </row>
    <row r="16" spans="1:54" ht="12" customHeight="1">
      <c r="A16" s="573" t="s">
        <v>232</v>
      </c>
      <c r="B16" s="573"/>
      <c r="D16" s="174">
        <v>1772</v>
      </c>
      <c r="F16" s="177">
        <f>F13+F14+F15</f>
        <v>1431</v>
      </c>
      <c r="H16" s="177">
        <f>H13+H14+H15</f>
        <v>1522</v>
      </c>
      <c r="I16" s="174">
        <f>I13+I14+I15</f>
        <v>1497</v>
      </c>
      <c r="J16" s="174">
        <f>J13+J14+J15</f>
        <v>1412</v>
      </c>
      <c r="K16" s="174">
        <f>K13+K14+K15</f>
        <v>1744</v>
      </c>
      <c r="M16" s="177">
        <f>M13+M14+M15</f>
        <v>1768</v>
      </c>
      <c r="N16" s="174">
        <f>N13+N14+N15</f>
        <v>1765</v>
      </c>
      <c r="O16" s="174">
        <v>1865</v>
      </c>
      <c r="P16" s="174">
        <f>SUM(P13:P15)</f>
        <v>1486</v>
      </c>
      <c r="R16" s="177">
        <f>R13+R14+R15</f>
        <v>1570</v>
      </c>
      <c r="S16" s="174">
        <f>S13+S14+S15</f>
        <v>1637</v>
      </c>
      <c r="T16" s="174">
        <f>T13+T14+T15</f>
        <v>1615</v>
      </c>
      <c r="U16" s="174">
        <f>U13+U14+U15</f>
        <v>1577</v>
      </c>
      <c r="W16" s="177">
        <f>W13+W14+W15</f>
        <v>1527</v>
      </c>
      <c r="X16" s="217">
        <f>X13+X14+X15</f>
        <v>1472</v>
      </c>
      <c r="Y16" s="217">
        <f>Y13+Y14+Y15</f>
        <v>1373</v>
      </c>
      <c r="Z16" s="217">
        <v>1228</v>
      </c>
      <c r="AB16" s="177">
        <v>1057</v>
      </c>
      <c r="AC16" s="217">
        <v>1534</v>
      </c>
      <c r="AD16" s="217">
        <v>2095</v>
      </c>
      <c r="AE16" s="174">
        <v>2026</v>
      </c>
      <c r="AG16" s="217">
        <v>1845</v>
      </c>
      <c r="AH16" s="217">
        <v>1830</v>
      </c>
      <c r="AI16" s="217">
        <v>1835</v>
      </c>
      <c r="AJ16" s="217">
        <v>1728</v>
      </c>
      <c r="AK16" s="217">
        <v>1763</v>
      </c>
      <c r="AL16" s="217">
        <v>2200</v>
      </c>
      <c r="AM16" s="217">
        <v>1953</v>
      </c>
      <c r="AN16" s="217">
        <v>1789</v>
      </c>
      <c r="AO16" s="217">
        <v>1659</v>
      </c>
      <c r="AP16" s="217">
        <v>1736</v>
      </c>
      <c r="AQ16" s="217">
        <v>1685</v>
      </c>
      <c r="AR16" s="217">
        <v>1613</v>
      </c>
      <c r="AS16" s="217">
        <v>1490</v>
      </c>
      <c r="AT16" s="217">
        <v>1683</v>
      </c>
      <c r="AU16" s="217">
        <v>1593</v>
      </c>
      <c r="AV16" s="217">
        <v>1726</v>
      </c>
      <c r="AW16" s="217">
        <v>1947</v>
      </c>
      <c r="AX16" s="217">
        <v>2607</v>
      </c>
      <c r="AY16" s="217">
        <f>AY13+AY14+AY15</f>
        <v>2611</v>
      </c>
      <c r="AZ16" s="217">
        <v>2526</v>
      </c>
      <c r="BA16" s="217">
        <v>3457</v>
      </c>
      <c r="BB16" s="340">
        <v>3620</v>
      </c>
    </row>
    <row r="17" spans="1:246" ht="12" customHeight="1">
      <c r="A17" s="526" t="s">
        <v>233</v>
      </c>
      <c r="B17" s="497"/>
      <c r="D17" s="174">
        <v>535</v>
      </c>
      <c r="F17" s="177">
        <v>557</v>
      </c>
      <c r="H17" s="177">
        <v>562</v>
      </c>
      <c r="I17" s="174">
        <v>608</v>
      </c>
      <c r="J17" s="174">
        <v>512</v>
      </c>
      <c r="K17" s="174">
        <v>511</v>
      </c>
      <c r="M17" s="177">
        <v>456</v>
      </c>
      <c r="N17" s="174">
        <v>372</v>
      </c>
      <c r="O17" s="174">
        <v>340</v>
      </c>
      <c r="P17" s="174">
        <v>389</v>
      </c>
      <c r="R17" s="177">
        <v>487</v>
      </c>
      <c r="S17" s="174">
        <v>542</v>
      </c>
      <c r="T17" s="174">
        <v>420</v>
      </c>
      <c r="U17" s="174">
        <v>309</v>
      </c>
      <c r="W17" s="177">
        <v>452</v>
      </c>
      <c r="X17" s="217">
        <v>223</v>
      </c>
      <c r="Y17" s="217">
        <v>236</v>
      </c>
      <c r="Z17" s="217">
        <v>157</v>
      </c>
      <c r="AB17" s="177">
        <v>163</v>
      </c>
      <c r="AC17" s="217">
        <v>141</v>
      </c>
      <c r="AD17" s="217">
        <v>150</v>
      </c>
      <c r="AE17" s="174">
        <v>193</v>
      </c>
      <c r="AG17" s="217">
        <v>332</v>
      </c>
      <c r="AH17" s="217">
        <v>216</v>
      </c>
      <c r="AI17" s="217">
        <v>218</v>
      </c>
      <c r="AJ17" s="217">
        <v>185</v>
      </c>
      <c r="AK17" s="217">
        <v>191</v>
      </c>
      <c r="AL17" s="217">
        <v>205</v>
      </c>
      <c r="AM17" s="217">
        <v>156</v>
      </c>
      <c r="AN17" s="217">
        <v>137</v>
      </c>
      <c r="AO17" s="217">
        <v>143</v>
      </c>
      <c r="AP17" s="217">
        <v>139</v>
      </c>
      <c r="AQ17" s="217">
        <v>138</v>
      </c>
      <c r="AR17" s="217">
        <v>137</v>
      </c>
      <c r="AS17" s="217">
        <v>143</v>
      </c>
      <c r="AT17" s="217">
        <v>135</v>
      </c>
      <c r="AU17" s="217">
        <v>162</v>
      </c>
      <c r="AV17" s="217">
        <v>302</v>
      </c>
      <c r="AW17" s="217">
        <v>306</v>
      </c>
      <c r="AX17" s="217">
        <v>297</v>
      </c>
      <c r="AY17" s="217">
        <v>310</v>
      </c>
      <c r="AZ17" s="217">
        <v>189</v>
      </c>
      <c r="BA17" s="217">
        <v>192</v>
      </c>
      <c r="BB17" s="340">
        <v>200</v>
      </c>
    </row>
    <row r="18" spans="1:246" ht="12" customHeight="1">
      <c r="A18" s="526" t="s">
        <v>234</v>
      </c>
      <c r="B18" s="497"/>
      <c r="D18" s="174">
        <v>129</v>
      </c>
      <c r="F18" s="177">
        <v>97</v>
      </c>
      <c r="H18" s="177">
        <v>123</v>
      </c>
      <c r="I18" s="174">
        <v>125</v>
      </c>
      <c r="J18" s="174">
        <v>125</v>
      </c>
      <c r="K18" s="174">
        <v>117</v>
      </c>
      <c r="M18" s="177">
        <v>117</v>
      </c>
      <c r="N18" s="174">
        <v>118</v>
      </c>
      <c r="O18" s="174">
        <v>113</v>
      </c>
      <c r="P18" s="174">
        <v>112</v>
      </c>
      <c r="R18" s="177">
        <v>111</v>
      </c>
      <c r="S18" s="174">
        <v>109</v>
      </c>
      <c r="T18" s="174">
        <v>121</v>
      </c>
      <c r="U18" s="174">
        <v>109</v>
      </c>
      <c r="W18" s="177">
        <v>108</v>
      </c>
      <c r="X18" s="217">
        <v>108</v>
      </c>
      <c r="Y18" s="217">
        <v>115</v>
      </c>
      <c r="Z18" s="217">
        <v>142</v>
      </c>
      <c r="AB18" s="177">
        <v>128</v>
      </c>
      <c r="AC18" s="217">
        <v>135</v>
      </c>
      <c r="AD18" s="217">
        <v>139</v>
      </c>
      <c r="AE18" s="174">
        <v>161</v>
      </c>
      <c r="AG18" s="217">
        <v>144</v>
      </c>
      <c r="AH18" s="217">
        <v>165</v>
      </c>
      <c r="AI18" s="217">
        <v>167</v>
      </c>
      <c r="AJ18" s="217">
        <v>161</v>
      </c>
      <c r="AK18" s="217">
        <v>158</v>
      </c>
      <c r="AL18" s="217">
        <v>157</v>
      </c>
      <c r="AM18" s="217">
        <v>160</v>
      </c>
      <c r="AN18" s="217">
        <v>220</v>
      </c>
      <c r="AO18" s="217">
        <v>220</v>
      </c>
      <c r="AP18" s="217">
        <v>233</v>
      </c>
      <c r="AQ18" s="217">
        <v>232</v>
      </c>
      <c r="AR18" s="217">
        <v>386</v>
      </c>
      <c r="AS18" s="217">
        <v>247</v>
      </c>
      <c r="AT18" s="217">
        <v>280</v>
      </c>
      <c r="AU18" s="217">
        <v>282</v>
      </c>
      <c r="AV18" s="217">
        <v>277</v>
      </c>
      <c r="AW18" s="217">
        <v>271</v>
      </c>
      <c r="AX18" s="217">
        <v>269</v>
      </c>
      <c r="AY18" s="217">
        <v>268</v>
      </c>
      <c r="AZ18" s="217">
        <v>270</v>
      </c>
      <c r="BA18" s="217">
        <v>276</v>
      </c>
      <c r="BB18" s="340">
        <v>276</v>
      </c>
    </row>
    <row r="19" spans="1:246" ht="12" customHeight="1">
      <c r="A19" s="576" t="s">
        <v>235</v>
      </c>
      <c r="B19" s="576"/>
      <c r="C19" s="372"/>
      <c r="D19" s="173">
        <v>33569</v>
      </c>
      <c r="F19" s="175">
        <f>F6+F9+F12+F13+F14+F15+F17+F18</f>
        <v>30448</v>
      </c>
      <c r="H19" s="175">
        <f>H6+H9+H12+H13+H14+H15+H17+H18</f>
        <v>30680</v>
      </c>
      <c r="I19" s="173">
        <f>I6+I9+I12+I13+I14+I15+I17+I18</f>
        <v>31715</v>
      </c>
      <c r="J19" s="173">
        <f>J6+J9+J12+J13+J14+J15+J17+J18</f>
        <v>31296</v>
      </c>
      <c r="K19" s="173">
        <f>K6+K9+K12+K13+K14+K15+K17+K18</f>
        <v>27202</v>
      </c>
      <c r="M19" s="175">
        <f>M6+M9+M12+M13+M14+M15+M17+M18</f>
        <v>26981</v>
      </c>
      <c r="N19" s="173">
        <f>N6+N9+N12+N13+N14+N15+N17+N18</f>
        <v>26728</v>
      </c>
      <c r="O19" s="173">
        <v>27072</v>
      </c>
      <c r="P19" s="173">
        <f>P6+P9+P12+P16+P17+P18</f>
        <v>26515</v>
      </c>
      <c r="R19" s="175">
        <f>R6+R9+R12+R13+R14+R15+R17+R18</f>
        <v>26735</v>
      </c>
      <c r="S19" s="173">
        <f>S6+S9+S12+S13+S14+S15+S17+S18</f>
        <v>27589</v>
      </c>
      <c r="T19" s="173">
        <f>T6+T9+T12+T13+T14+T15+T17+T18</f>
        <v>27684</v>
      </c>
      <c r="U19" s="173">
        <f>U6+U9+U12+U16+U17+U18</f>
        <v>29375</v>
      </c>
      <c r="W19" s="175">
        <f>W6+W9+W12+W16+W17+W18</f>
        <v>30477</v>
      </c>
      <c r="X19" s="191">
        <f>X6+X9+X12+X16+X17+X18</f>
        <v>30581</v>
      </c>
      <c r="Y19" s="191">
        <f>Y6+Y9+Y12+Y16+Y17+Y18</f>
        <v>31694</v>
      </c>
      <c r="Z19" s="191">
        <v>31669</v>
      </c>
      <c r="AB19" s="175">
        <v>32685</v>
      </c>
      <c r="AC19" s="191">
        <v>32903</v>
      </c>
      <c r="AD19" s="191">
        <v>33726</v>
      </c>
      <c r="AE19" s="173">
        <v>34047</v>
      </c>
      <c r="AG19" s="191">
        <v>34641</v>
      </c>
      <c r="AH19" s="191">
        <v>35969</v>
      </c>
      <c r="AI19" s="191">
        <v>37063</v>
      </c>
      <c r="AJ19" s="191">
        <v>36664</v>
      </c>
      <c r="AK19" s="191">
        <v>37167</v>
      </c>
      <c r="AL19" s="191">
        <v>39679</v>
      </c>
      <c r="AM19" s="191">
        <v>41534</v>
      </c>
      <c r="AN19" s="191">
        <v>40379</v>
      </c>
      <c r="AO19" s="191">
        <v>40353</v>
      </c>
      <c r="AP19" s="191">
        <v>40627</v>
      </c>
      <c r="AQ19" s="191">
        <v>42213</v>
      </c>
      <c r="AR19" s="191">
        <v>37981</v>
      </c>
      <c r="AS19" s="191">
        <v>38696</v>
      </c>
      <c r="AT19" s="191">
        <f>AT6+AT9+AT12+AT16+AT17+AT18</f>
        <v>39306</v>
      </c>
      <c r="AU19" s="191">
        <f>AU6+AU9+AU12+AU16+AU17+AU18</f>
        <v>39544</v>
      </c>
      <c r="AV19" s="191">
        <v>42285</v>
      </c>
      <c r="AW19" s="191">
        <v>42110</v>
      </c>
      <c r="AX19" s="191">
        <v>42532</v>
      </c>
      <c r="AY19" s="191">
        <v>42554</v>
      </c>
      <c r="AZ19" s="191">
        <v>45015</v>
      </c>
      <c r="BA19" s="191">
        <v>46696</v>
      </c>
      <c r="BB19" s="339">
        <v>48253</v>
      </c>
    </row>
    <row r="20" spans="1:246" ht="12" customHeight="1">
      <c r="A20" s="573" t="s">
        <v>236</v>
      </c>
      <c r="B20" s="573"/>
      <c r="D20" s="174">
        <v>3362</v>
      </c>
      <c r="F20" s="177">
        <v>3382</v>
      </c>
      <c r="H20" s="177">
        <v>3935</v>
      </c>
      <c r="I20" s="174">
        <v>4066</v>
      </c>
      <c r="J20" s="174">
        <v>4225</v>
      </c>
      <c r="K20" s="174">
        <v>3497</v>
      </c>
      <c r="M20" s="177">
        <v>4154</v>
      </c>
      <c r="N20" s="174">
        <v>4512</v>
      </c>
      <c r="O20" s="174">
        <v>4931</v>
      </c>
      <c r="P20" s="174">
        <v>4562</v>
      </c>
      <c r="R20" s="177">
        <v>5468</v>
      </c>
      <c r="S20" s="174">
        <v>5568</v>
      </c>
      <c r="T20" s="174">
        <v>5519</v>
      </c>
      <c r="U20" s="174">
        <v>4983</v>
      </c>
      <c r="W20" s="177">
        <v>5444</v>
      </c>
      <c r="X20" s="217">
        <v>5277</v>
      </c>
      <c r="Y20" s="217">
        <v>5338</v>
      </c>
      <c r="Z20" s="217">
        <v>4741</v>
      </c>
      <c r="AB20" s="177">
        <v>4951</v>
      </c>
      <c r="AC20" s="217">
        <v>4615</v>
      </c>
      <c r="AD20" s="217">
        <v>4854</v>
      </c>
      <c r="AE20" s="174">
        <v>4459</v>
      </c>
      <c r="AG20" s="217">
        <v>5485</v>
      </c>
      <c r="AH20" s="217">
        <v>5794</v>
      </c>
      <c r="AI20" s="217">
        <v>6106</v>
      </c>
      <c r="AJ20" s="217">
        <v>6337</v>
      </c>
      <c r="AK20" s="217">
        <v>6892</v>
      </c>
      <c r="AL20" s="217">
        <v>7810</v>
      </c>
      <c r="AM20" s="217">
        <v>8160</v>
      </c>
      <c r="AN20" s="217">
        <v>8902</v>
      </c>
      <c r="AO20" s="217">
        <v>8538</v>
      </c>
      <c r="AP20" s="217">
        <v>8888</v>
      </c>
      <c r="AQ20" s="217">
        <v>8783</v>
      </c>
      <c r="AR20" s="217">
        <v>8425</v>
      </c>
      <c r="AS20" s="217">
        <v>7959</v>
      </c>
      <c r="AT20" s="217">
        <v>8452</v>
      </c>
      <c r="AU20" s="217">
        <v>8097</v>
      </c>
      <c r="AV20" s="217">
        <v>8063</v>
      </c>
      <c r="AW20" s="217">
        <v>8321</v>
      </c>
      <c r="AX20" s="217">
        <v>8765</v>
      </c>
      <c r="AY20" s="217">
        <v>9338</v>
      </c>
      <c r="AZ20" s="217">
        <v>9608</v>
      </c>
      <c r="BA20" s="217">
        <v>12489</v>
      </c>
      <c r="BB20" s="340">
        <v>12214</v>
      </c>
    </row>
    <row r="21" spans="1:246" ht="12" customHeight="1">
      <c r="A21" s="573" t="s">
        <v>237</v>
      </c>
      <c r="B21" s="573"/>
      <c r="D21" s="174">
        <v>1890</v>
      </c>
      <c r="F21" s="177">
        <v>1541</v>
      </c>
      <c r="H21" s="177">
        <v>1077</v>
      </c>
      <c r="I21" s="174">
        <v>1146</v>
      </c>
      <c r="J21" s="174">
        <v>955</v>
      </c>
      <c r="K21" s="174">
        <v>1292</v>
      </c>
      <c r="M21" s="177">
        <v>1206</v>
      </c>
      <c r="N21" s="174">
        <v>1097</v>
      </c>
      <c r="O21" s="174">
        <v>1127</v>
      </c>
      <c r="P21" s="174">
        <v>1522</v>
      </c>
      <c r="R21" s="177">
        <v>1192</v>
      </c>
      <c r="S21" s="174">
        <v>1222</v>
      </c>
      <c r="T21" s="174">
        <v>1229</v>
      </c>
      <c r="U21" s="174">
        <v>799</v>
      </c>
      <c r="W21" s="177">
        <v>1011</v>
      </c>
      <c r="X21" s="217">
        <v>723</v>
      </c>
      <c r="Y21" s="217">
        <v>758</v>
      </c>
      <c r="Z21" s="217">
        <v>688</v>
      </c>
      <c r="AB21" s="177">
        <v>667</v>
      </c>
      <c r="AC21" s="217">
        <v>747</v>
      </c>
      <c r="AD21" s="217">
        <v>745</v>
      </c>
      <c r="AE21" s="174">
        <v>834</v>
      </c>
      <c r="AG21" s="217">
        <v>958</v>
      </c>
      <c r="AH21" s="217">
        <v>881</v>
      </c>
      <c r="AI21" s="217">
        <v>1115</v>
      </c>
      <c r="AJ21" s="217">
        <v>1009</v>
      </c>
      <c r="AK21" s="217">
        <v>1405</v>
      </c>
      <c r="AL21" s="217">
        <v>1524</v>
      </c>
      <c r="AM21" s="217">
        <v>1252</v>
      </c>
      <c r="AN21" s="217">
        <v>1177</v>
      </c>
      <c r="AO21" s="217">
        <v>1131</v>
      </c>
      <c r="AP21" s="217">
        <v>765</v>
      </c>
      <c r="AQ21" s="217">
        <v>1513</v>
      </c>
      <c r="AR21" s="217">
        <v>932</v>
      </c>
      <c r="AS21" s="217">
        <v>1616</v>
      </c>
      <c r="AT21" s="217">
        <v>1450</v>
      </c>
      <c r="AU21" s="217">
        <v>1557</v>
      </c>
      <c r="AV21" s="217">
        <v>1345</v>
      </c>
      <c r="AW21" s="217">
        <v>1418</v>
      </c>
      <c r="AX21" s="217">
        <v>1204</v>
      </c>
      <c r="AY21" s="217">
        <v>1458</v>
      </c>
      <c r="AZ21" s="217">
        <v>1885</v>
      </c>
      <c r="BA21" s="217">
        <v>2047</v>
      </c>
      <c r="BB21" s="340">
        <v>1916</v>
      </c>
    </row>
    <row r="22" spans="1:246" ht="12" customHeight="1">
      <c r="A22" s="573" t="s">
        <v>238</v>
      </c>
      <c r="B22" s="573"/>
      <c r="D22" s="174">
        <v>445</v>
      </c>
      <c r="F22" s="177">
        <v>542</v>
      </c>
      <c r="H22" s="177">
        <v>334</v>
      </c>
      <c r="I22" s="174">
        <v>336</v>
      </c>
      <c r="J22" s="174">
        <v>288</v>
      </c>
      <c r="K22" s="174">
        <v>267</v>
      </c>
      <c r="M22" s="177">
        <v>233</v>
      </c>
      <c r="N22" s="174">
        <v>228</v>
      </c>
      <c r="O22" s="174">
        <v>224</v>
      </c>
      <c r="P22" s="174">
        <v>277</v>
      </c>
      <c r="R22" s="177">
        <v>213</v>
      </c>
      <c r="S22" s="174">
        <v>226</v>
      </c>
      <c r="T22" s="174">
        <v>233</v>
      </c>
      <c r="U22" s="174">
        <v>417</v>
      </c>
      <c r="W22" s="177">
        <v>312</v>
      </c>
      <c r="X22" s="217">
        <v>288</v>
      </c>
      <c r="Y22" s="217">
        <v>415</v>
      </c>
      <c r="Z22" s="217">
        <v>571</v>
      </c>
      <c r="AB22" s="177">
        <v>482</v>
      </c>
      <c r="AC22" s="217">
        <v>498</v>
      </c>
      <c r="AD22" s="217">
        <v>426</v>
      </c>
      <c r="AE22" s="174">
        <v>295</v>
      </c>
      <c r="AG22" s="217">
        <v>404</v>
      </c>
      <c r="AH22" s="217">
        <v>235</v>
      </c>
      <c r="AI22" s="217">
        <v>254</v>
      </c>
      <c r="AJ22" s="217">
        <v>364</v>
      </c>
      <c r="AK22" s="217">
        <v>246</v>
      </c>
      <c r="AL22" s="217">
        <v>290</v>
      </c>
      <c r="AM22" s="217">
        <v>271</v>
      </c>
      <c r="AN22" s="217">
        <v>367</v>
      </c>
      <c r="AO22" s="217">
        <v>367</v>
      </c>
      <c r="AP22" s="217">
        <v>372</v>
      </c>
      <c r="AQ22" s="217">
        <v>324</v>
      </c>
      <c r="AR22" s="217">
        <v>985</v>
      </c>
      <c r="AS22" s="217">
        <v>630</v>
      </c>
      <c r="AT22" s="217">
        <v>347</v>
      </c>
      <c r="AU22" s="217">
        <v>327</v>
      </c>
      <c r="AV22" s="217">
        <v>453</v>
      </c>
      <c r="AW22" s="217">
        <v>365</v>
      </c>
      <c r="AX22" s="217">
        <v>338</v>
      </c>
      <c r="AY22" s="217">
        <v>475</v>
      </c>
      <c r="AZ22" s="217">
        <v>659</v>
      </c>
      <c r="BA22" s="217">
        <v>649</v>
      </c>
      <c r="BB22" s="340">
        <v>823</v>
      </c>
    </row>
    <row r="23" spans="1:246" ht="12" customHeight="1">
      <c r="A23" s="573" t="s">
        <v>229</v>
      </c>
      <c r="B23" s="573"/>
      <c r="D23" s="174">
        <v>277</v>
      </c>
      <c r="F23" s="177">
        <v>7</v>
      </c>
      <c r="H23" s="177">
        <v>80</v>
      </c>
      <c r="I23" s="174">
        <v>33</v>
      </c>
      <c r="J23" s="174">
        <v>56</v>
      </c>
      <c r="K23" s="174">
        <v>72</v>
      </c>
      <c r="M23" s="177">
        <v>78</v>
      </c>
      <c r="N23" s="174">
        <v>101</v>
      </c>
      <c r="O23" s="174">
        <v>110</v>
      </c>
      <c r="P23" s="174">
        <v>196</v>
      </c>
      <c r="R23" s="177">
        <v>264</v>
      </c>
      <c r="S23" s="174">
        <v>158</v>
      </c>
      <c r="T23" s="174">
        <v>244</v>
      </c>
      <c r="U23" s="174">
        <v>301</v>
      </c>
      <c r="W23" s="177">
        <v>140</v>
      </c>
      <c r="X23" s="217">
        <v>324</v>
      </c>
      <c r="Y23" s="217">
        <v>363</v>
      </c>
      <c r="Z23" s="217">
        <v>293</v>
      </c>
      <c r="AB23" s="177">
        <v>892</v>
      </c>
      <c r="AC23" s="217">
        <v>222</v>
      </c>
      <c r="AD23" s="217">
        <v>269</v>
      </c>
      <c r="AE23" s="174">
        <v>210</v>
      </c>
      <c r="AG23" s="217">
        <v>216</v>
      </c>
      <c r="AH23" s="217">
        <v>294</v>
      </c>
      <c r="AI23" s="217">
        <v>333</v>
      </c>
      <c r="AJ23" s="217">
        <v>254</v>
      </c>
      <c r="AK23" s="217">
        <v>192</v>
      </c>
      <c r="AL23" s="217">
        <v>587</v>
      </c>
      <c r="AM23" s="217">
        <v>826</v>
      </c>
      <c r="AN23" s="217">
        <v>796</v>
      </c>
      <c r="AO23" s="217">
        <v>611</v>
      </c>
      <c r="AP23" s="217">
        <v>766</v>
      </c>
      <c r="AQ23" s="217">
        <v>439</v>
      </c>
      <c r="AR23" s="217">
        <v>760</v>
      </c>
      <c r="AS23" s="217">
        <v>591</v>
      </c>
      <c r="AT23" s="217">
        <v>406</v>
      </c>
      <c r="AU23" s="217">
        <v>310</v>
      </c>
      <c r="AV23" s="217">
        <v>219</v>
      </c>
      <c r="AW23" s="217">
        <v>196</v>
      </c>
      <c r="AX23" s="217">
        <v>293</v>
      </c>
      <c r="AY23" s="217">
        <v>243</v>
      </c>
      <c r="AZ23" s="217">
        <v>128</v>
      </c>
      <c r="BA23" s="217">
        <v>256</v>
      </c>
      <c r="BB23" s="340">
        <v>426</v>
      </c>
    </row>
    <row r="24" spans="1:246" ht="12" hidden="1" customHeight="1">
      <c r="A24" s="573" t="s">
        <v>239</v>
      </c>
      <c r="B24" s="573"/>
      <c r="D24" s="174"/>
      <c r="F24" s="177"/>
      <c r="H24" s="177"/>
      <c r="I24" s="174"/>
      <c r="J24" s="174"/>
      <c r="K24" s="174"/>
      <c r="M24" s="177"/>
      <c r="N24" s="174"/>
      <c r="O24" s="174"/>
      <c r="P24" s="174"/>
      <c r="R24" s="177"/>
      <c r="S24" s="174"/>
      <c r="T24" s="174"/>
      <c r="U24" s="174"/>
      <c r="W24" s="177"/>
      <c r="X24" s="217"/>
      <c r="Y24" s="217"/>
      <c r="Z24" s="217"/>
      <c r="AB24" s="177"/>
      <c r="AC24" s="217"/>
      <c r="AD24" s="217"/>
      <c r="AE24" s="174"/>
      <c r="AG24" s="217"/>
      <c r="AH24" s="217"/>
      <c r="AI24" s="217">
        <v>0</v>
      </c>
      <c r="AJ24" s="217">
        <v>447</v>
      </c>
      <c r="AK24" s="217">
        <v>0</v>
      </c>
      <c r="AL24" s="217">
        <v>0</v>
      </c>
      <c r="AM24" s="217">
        <v>0</v>
      </c>
      <c r="AN24" s="217">
        <v>0</v>
      </c>
      <c r="AO24" s="217">
        <v>0</v>
      </c>
      <c r="AP24" s="217">
        <v>0</v>
      </c>
      <c r="AQ24" s="217">
        <v>0</v>
      </c>
      <c r="AR24" s="217">
        <v>0</v>
      </c>
      <c r="AS24" s="217">
        <v>0</v>
      </c>
      <c r="AT24" s="217">
        <v>0</v>
      </c>
      <c r="AU24" s="217">
        <v>0</v>
      </c>
      <c r="AV24" s="217">
        <v>0</v>
      </c>
      <c r="AW24" s="217">
        <v>0</v>
      </c>
      <c r="AX24" s="217">
        <v>0</v>
      </c>
      <c r="AY24" s="217"/>
      <c r="AZ24" s="217"/>
      <c r="BA24" s="217"/>
      <c r="BB24" s="340"/>
    </row>
    <row r="25" spans="1:246" ht="12" customHeight="1">
      <c r="A25" s="573" t="s">
        <v>240</v>
      </c>
      <c r="B25" s="573"/>
      <c r="D25" s="174">
        <v>356</v>
      </c>
      <c r="F25" s="177">
        <v>383</v>
      </c>
      <c r="H25" s="177">
        <v>403</v>
      </c>
      <c r="I25" s="174">
        <v>417</v>
      </c>
      <c r="J25" s="174">
        <v>340</v>
      </c>
      <c r="K25" s="174">
        <v>252</v>
      </c>
      <c r="M25" s="177">
        <v>353</v>
      </c>
      <c r="N25" s="174">
        <v>389</v>
      </c>
      <c r="O25" s="174">
        <v>435</v>
      </c>
      <c r="P25" s="174">
        <v>464</v>
      </c>
      <c r="R25" s="177">
        <f>270+239</f>
        <v>509</v>
      </c>
      <c r="S25" s="174">
        <f>296+402</f>
        <v>698</v>
      </c>
      <c r="T25" s="174">
        <f>266+257</f>
        <v>523</v>
      </c>
      <c r="U25" s="174">
        <f>273+132</f>
        <v>405</v>
      </c>
      <c r="W25" s="177">
        <f>286+258</f>
        <v>544</v>
      </c>
      <c r="X25" s="217">
        <f>420+326</f>
        <v>746</v>
      </c>
      <c r="Y25" s="217">
        <f>457+326</f>
        <v>783</v>
      </c>
      <c r="Z25" s="217">
        <f>280+151</f>
        <v>431</v>
      </c>
      <c r="AB25" s="177">
        <f>394+327</f>
        <v>721</v>
      </c>
      <c r="AC25" s="217">
        <v>648</v>
      </c>
      <c r="AD25" s="217">
        <v>546</v>
      </c>
      <c r="AE25" s="174">
        <v>352</v>
      </c>
      <c r="AG25" s="217">
        <v>542</v>
      </c>
      <c r="AH25" s="217">
        <f>96+251</f>
        <v>347</v>
      </c>
      <c r="AI25" s="217">
        <v>375</v>
      </c>
      <c r="AJ25" s="217">
        <f>172+162</f>
        <v>334</v>
      </c>
      <c r="AK25" s="217">
        <v>461</v>
      </c>
      <c r="AL25" s="217">
        <v>581</v>
      </c>
      <c r="AM25" s="217">
        <f>380+284</f>
        <v>664</v>
      </c>
      <c r="AN25" s="217">
        <f>337+286</f>
        <v>623</v>
      </c>
      <c r="AO25" s="217">
        <v>761</v>
      </c>
      <c r="AP25" s="217">
        <f>426+478</f>
        <v>904</v>
      </c>
      <c r="AQ25" s="217">
        <v>822</v>
      </c>
      <c r="AR25" s="217">
        <v>571</v>
      </c>
      <c r="AS25" s="217">
        <v>751</v>
      </c>
      <c r="AT25" s="217">
        <f>261+576</f>
        <v>837</v>
      </c>
      <c r="AU25" s="217">
        <v>738</v>
      </c>
      <c r="AV25" s="217">
        <f>317+366</f>
        <v>683</v>
      </c>
      <c r="AW25" s="217">
        <f>572+287</f>
        <v>859</v>
      </c>
      <c r="AX25" s="217">
        <v>843</v>
      </c>
      <c r="AY25" s="217">
        <f>182+448</f>
        <v>630</v>
      </c>
      <c r="AZ25" s="217">
        <f>237+265</f>
        <v>502</v>
      </c>
      <c r="BA25" s="217">
        <f>259+537</f>
        <v>796</v>
      </c>
      <c r="BB25" s="340">
        <f>250+763</f>
        <v>1013</v>
      </c>
    </row>
    <row r="26" spans="1:246" ht="12" customHeight="1">
      <c r="A26" s="573" t="s">
        <v>241</v>
      </c>
      <c r="B26" s="573"/>
      <c r="D26" s="174">
        <v>475</v>
      </c>
      <c r="F26" s="177">
        <v>461</v>
      </c>
      <c r="H26" s="177">
        <v>589</v>
      </c>
      <c r="I26" s="174">
        <v>698</v>
      </c>
      <c r="J26" s="174">
        <v>731</v>
      </c>
      <c r="K26" s="174">
        <v>860</v>
      </c>
      <c r="M26" s="177">
        <v>624</v>
      </c>
      <c r="N26" s="174">
        <v>446</v>
      </c>
      <c r="O26" s="174">
        <v>407</v>
      </c>
      <c r="P26" s="174">
        <v>586</v>
      </c>
      <c r="R26" s="177">
        <v>523</v>
      </c>
      <c r="S26" s="174">
        <v>610</v>
      </c>
      <c r="T26" s="174">
        <v>789</v>
      </c>
      <c r="U26" s="174">
        <v>957</v>
      </c>
      <c r="W26" s="177">
        <v>590</v>
      </c>
      <c r="X26" s="217">
        <v>1106</v>
      </c>
      <c r="Y26" s="217">
        <v>748</v>
      </c>
      <c r="Z26" s="217">
        <v>1016</v>
      </c>
      <c r="AB26" s="177">
        <v>2198</v>
      </c>
      <c r="AC26" s="217">
        <v>1951</v>
      </c>
      <c r="AD26" s="217">
        <v>1119</v>
      </c>
      <c r="AE26" s="174">
        <v>2522</v>
      </c>
      <c r="AG26" s="217">
        <v>1566</v>
      </c>
      <c r="AH26" s="217">
        <v>1189</v>
      </c>
      <c r="AI26" s="217">
        <v>457</v>
      </c>
      <c r="AJ26" s="217">
        <v>1884</v>
      </c>
      <c r="AK26" s="217">
        <v>3337</v>
      </c>
      <c r="AL26" s="217">
        <v>2635</v>
      </c>
      <c r="AM26" s="217">
        <v>2132</v>
      </c>
      <c r="AN26" s="217">
        <v>1200</v>
      </c>
      <c r="AO26" s="217">
        <v>1574</v>
      </c>
      <c r="AP26" s="217">
        <v>1879</v>
      </c>
      <c r="AQ26" s="217">
        <v>1403</v>
      </c>
      <c r="AR26" s="217">
        <v>1729</v>
      </c>
      <c r="AS26" s="217">
        <v>826</v>
      </c>
      <c r="AT26" s="217">
        <v>2441</v>
      </c>
      <c r="AU26" s="217">
        <v>1112</v>
      </c>
      <c r="AV26" s="217">
        <v>715</v>
      </c>
      <c r="AW26" s="217">
        <v>869</v>
      </c>
      <c r="AX26" s="217">
        <v>430</v>
      </c>
      <c r="AY26" s="217">
        <v>411</v>
      </c>
      <c r="AZ26" s="217">
        <v>443</v>
      </c>
      <c r="BA26" s="217">
        <v>522</v>
      </c>
      <c r="BB26" s="340">
        <v>1217</v>
      </c>
    </row>
    <row r="27" spans="1:246" ht="12" customHeight="1">
      <c r="A27" s="573" t="s">
        <v>242</v>
      </c>
      <c r="B27" s="573"/>
      <c r="D27" s="174">
        <v>0</v>
      </c>
      <c r="F27" s="177">
        <v>0</v>
      </c>
      <c r="H27" s="177">
        <v>0</v>
      </c>
      <c r="I27" s="174">
        <v>0</v>
      </c>
      <c r="J27" s="174">
        <v>0</v>
      </c>
      <c r="K27" s="174">
        <v>0</v>
      </c>
      <c r="M27" s="177">
        <v>0</v>
      </c>
      <c r="N27" s="174">
        <v>0</v>
      </c>
      <c r="O27" s="174">
        <v>0</v>
      </c>
      <c r="P27" s="174">
        <v>0</v>
      </c>
      <c r="R27" s="177">
        <v>0</v>
      </c>
      <c r="S27" s="174">
        <v>0</v>
      </c>
      <c r="T27" s="174">
        <v>0</v>
      </c>
      <c r="U27" s="174">
        <v>0</v>
      </c>
      <c r="W27" s="177">
        <v>0</v>
      </c>
      <c r="X27" s="217">
        <v>0</v>
      </c>
      <c r="Y27" s="217">
        <v>0</v>
      </c>
      <c r="Z27" s="217">
        <v>0</v>
      </c>
      <c r="AB27" s="177">
        <v>0</v>
      </c>
      <c r="AC27" s="217">
        <v>0</v>
      </c>
      <c r="AD27" s="217">
        <v>31</v>
      </c>
      <c r="AE27" s="174">
        <v>61</v>
      </c>
      <c r="AG27" s="217">
        <v>0</v>
      </c>
      <c r="AH27" s="217">
        <v>346</v>
      </c>
      <c r="AI27" s="217">
        <v>443</v>
      </c>
      <c r="AJ27" s="217">
        <v>734</v>
      </c>
      <c r="AK27" s="217">
        <v>341</v>
      </c>
      <c r="AL27" s="217">
        <v>0</v>
      </c>
      <c r="AM27" s="217">
        <v>0</v>
      </c>
      <c r="AN27" s="217">
        <v>0</v>
      </c>
      <c r="AO27" s="217">
        <v>0</v>
      </c>
      <c r="AP27" s="217">
        <v>0</v>
      </c>
      <c r="AQ27" s="217">
        <v>0</v>
      </c>
      <c r="AR27" s="217">
        <v>0</v>
      </c>
      <c r="AS27" s="217">
        <v>0</v>
      </c>
      <c r="AT27" s="217">
        <v>0</v>
      </c>
      <c r="AU27" s="217">
        <v>112</v>
      </c>
      <c r="AV27" s="217">
        <v>129</v>
      </c>
      <c r="AW27" s="217">
        <v>0</v>
      </c>
      <c r="AX27" s="217">
        <v>0</v>
      </c>
      <c r="AY27" s="217">
        <v>0</v>
      </c>
      <c r="AZ27" s="217">
        <v>0</v>
      </c>
      <c r="BA27" s="217">
        <v>0</v>
      </c>
      <c r="BB27" s="340">
        <v>0</v>
      </c>
    </row>
    <row r="28" spans="1:246" ht="12" customHeight="1">
      <c r="A28" s="576" t="s">
        <v>243</v>
      </c>
      <c r="B28" s="576"/>
      <c r="C28" s="372"/>
      <c r="D28" s="173">
        <v>6805</v>
      </c>
      <c r="F28" s="175">
        <f>F20+F21+F22+F23+F26+F25</f>
        <v>6316</v>
      </c>
      <c r="H28" s="175">
        <f>H20+H21+H22+H23+H26+H25</f>
        <v>6418</v>
      </c>
      <c r="I28" s="173">
        <f>I20+I21+I22+I23+I26+I25</f>
        <v>6696</v>
      </c>
      <c r="J28" s="173">
        <f>J20+J21+J22+J23+J26+J25</f>
        <v>6595</v>
      </c>
      <c r="K28" s="173">
        <f>K20+K21+K22+K23+K26+K25</f>
        <v>6240</v>
      </c>
      <c r="M28" s="175">
        <f>M20+M21+M22+M23+M26+M25</f>
        <v>6648</v>
      </c>
      <c r="N28" s="173">
        <f>N20+N21+N22+N23+N26+N25</f>
        <v>6773</v>
      </c>
      <c r="O28" s="173">
        <v>7234</v>
      </c>
      <c r="P28" s="173">
        <f>SUM(P20:P26)</f>
        <v>7607</v>
      </c>
      <c r="R28" s="175">
        <f>R20+R21+R22+R23+R26+R25</f>
        <v>8169</v>
      </c>
      <c r="S28" s="173">
        <f>S20+S21+S22+S23+S26+S25</f>
        <v>8482</v>
      </c>
      <c r="T28" s="173">
        <f>T20+T21+T22+T23+T26+T25</f>
        <v>8537</v>
      </c>
      <c r="U28" s="173">
        <f>U20+U21+U22+U23+U25+U26</f>
        <v>7862</v>
      </c>
      <c r="W28" s="175">
        <f>W20+W21+W22+W23+W25+W26</f>
        <v>8041</v>
      </c>
      <c r="X28" s="191">
        <f>X20+X21+X22+X23+X25+X26</f>
        <v>8464</v>
      </c>
      <c r="Y28" s="191">
        <f>Y20+Y21+Y22+Y23+Y25+Y26</f>
        <v>8405</v>
      </c>
      <c r="Z28" s="191">
        <v>7740</v>
      </c>
      <c r="AB28" s="175">
        <v>9911</v>
      </c>
      <c r="AC28" s="191">
        <v>8681</v>
      </c>
      <c r="AD28" s="191">
        <v>7990</v>
      </c>
      <c r="AE28" s="173">
        <v>8733</v>
      </c>
      <c r="AG28" s="191">
        <v>9171</v>
      </c>
      <c r="AH28" s="191">
        <v>9086</v>
      </c>
      <c r="AI28" s="191">
        <v>9083</v>
      </c>
      <c r="AJ28" s="191">
        <v>11363</v>
      </c>
      <c r="AK28" s="191">
        <v>12874</v>
      </c>
      <c r="AL28" s="191">
        <v>13427</v>
      </c>
      <c r="AM28" s="191">
        <v>13305</v>
      </c>
      <c r="AN28" s="191">
        <v>13065</v>
      </c>
      <c r="AO28" s="191">
        <v>12982</v>
      </c>
      <c r="AP28" s="191">
        <v>13574</v>
      </c>
      <c r="AQ28" s="191">
        <v>13284</v>
      </c>
      <c r="AR28" s="191">
        <v>13402</v>
      </c>
      <c r="AS28" s="191">
        <v>12373</v>
      </c>
      <c r="AT28" s="191">
        <f>SUM(AT20:AT27)</f>
        <v>13933</v>
      </c>
      <c r="AU28" s="191">
        <f>SUM(AU20:AU27)</f>
        <v>12253</v>
      </c>
      <c r="AV28" s="191">
        <v>11607</v>
      </c>
      <c r="AW28" s="191">
        <v>12028</v>
      </c>
      <c r="AX28" s="191">
        <v>11873</v>
      </c>
      <c r="AY28" s="191">
        <v>12555</v>
      </c>
      <c r="AZ28" s="191">
        <v>13225</v>
      </c>
      <c r="BA28" s="191">
        <v>16759</v>
      </c>
      <c r="BB28" s="339">
        <v>17609</v>
      </c>
    </row>
    <row r="29" spans="1:246" s="51" customFormat="1" ht="12" customHeight="1">
      <c r="A29" s="576" t="s">
        <v>244</v>
      </c>
      <c r="B29" s="576"/>
      <c r="C29" s="455"/>
      <c r="D29" s="191">
        <v>40374</v>
      </c>
      <c r="E29" s="456"/>
      <c r="F29" s="207">
        <f>F19+F28</f>
        <v>36764</v>
      </c>
      <c r="G29" s="456"/>
      <c r="H29" s="207">
        <f>H19+H28</f>
        <v>37098</v>
      </c>
      <c r="I29" s="191">
        <f>I19+I28</f>
        <v>38411</v>
      </c>
      <c r="J29" s="191">
        <f>J19+J28</f>
        <v>37891</v>
      </c>
      <c r="K29" s="191">
        <f>K19+K28</f>
        <v>33442</v>
      </c>
      <c r="L29" s="456"/>
      <c r="M29" s="207">
        <f>M19+M28</f>
        <v>33629</v>
      </c>
      <c r="N29" s="191">
        <f>N19+N28</f>
        <v>33501</v>
      </c>
      <c r="O29" s="191">
        <f>O19+O28</f>
        <v>34306</v>
      </c>
      <c r="P29" s="191">
        <f>P19+P28</f>
        <v>34122</v>
      </c>
      <c r="Q29" s="456"/>
      <c r="R29" s="207">
        <f>R19+R28</f>
        <v>34904</v>
      </c>
      <c r="S29" s="191">
        <f>S19+S28</f>
        <v>36071</v>
      </c>
      <c r="T29" s="191">
        <f>T19+T28</f>
        <v>36221</v>
      </c>
      <c r="U29" s="191">
        <f>U28+U19</f>
        <v>37237</v>
      </c>
      <c r="V29" s="456"/>
      <c r="W29" s="207">
        <f>W28+W19</f>
        <v>38518</v>
      </c>
      <c r="X29" s="191">
        <f>X28+X19</f>
        <v>39045</v>
      </c>
      <c r="Y29" s="191">
        <f>Y28+Y19</f>
        <v>40099</v>
      </c>
      <c r="Z29" s="191">
        <v>39409</v>
      </c>
      <c r="AA29" s="456"/>
      <c r="AB29" s="207">
        <v>42596</v>
      </c>
      <c r="AC29" s="191">
        <v>41584</v>
      </c>
      <c r="AD29" s="191">
        <v>41716</v>
      </c>
      <c r="AE29" s="191">
        <v>42780</v>
      </c>
      <c r="AF29" s="456"/>
      <c r="AG29" s="191">
        <v>43812</v>
      </c>
      <c r="AH29" s="191">
        <v>45055</v>
      </c>
      <c r="AI29" s="191">
        <v>46146</v>
      </c>
      <c r="AJ29" s="191">
        <v>48027</v>
      </c>
      <c r="AK29" s="191">
        <v>50041</v>
      </c>
      <c r="AL29" s="191">
        <v>53106</v>
      </c>
      <c r="AM29" s="191">
        <v>54839</v>
      </c>
      <c r="AN29" s="191">
        <v>53444</v>
      </c>
      <c r="AO29" s="191">
        <v>53335</v>
      </c>
      <c r="AP29" s="191">
        <v>54201</v>
      </c>
      <c r="AQ29" s="191">
        <v>55497</v>
      </c>
      <c r="AR29" s="191">
        <v>51383</v>
      </c>
      <c r="AS29" s="191">
        <v>51069</v>
      </c>
      <c r="AT29" s="191">
        <f>AT19+AT28</f>
        <v>53239</v>
      </c>
      <c r="AU29" s="191">
        <f>AU19+AU28</f>
        <v>51797</v>
      </c>
      <c r="AV29" s="191">
        <v>53892</v>
      </c>
      <c r="AW29" s="191">
        <v>54138</v>
      </c>
      <c r="AX29" s="191">
        <v>54405</v>
      </c>
      <c r="AY29" s="191">
        <v>55109</v>
      </c>
      <c r="AZ29" s="191">
        <v>58240</v>
      </c>
      <c r="BA29" s="191">
        <v>63455</v>
      </c>
      <c r="BB29" s="339">
        <v>65862</v>
      </c>
      <c r="BC29" s="317"/>
      <c r="BD29" s="317"/>
      <c r="BE29" s="317"/>
      <c r="BF29" s="317"/>
      <c r="BG29" s="317"/>
      <c r="BH29" s="317"/>
      <c r="BI29" s="317"/>
      <c r="BJ29" s="317"/>
      <c r="BK29" s="317"/>
      <c r="BL29" s="317"/>
      <c r="BM29" s="317"/>
      <c r="BN29" s="317"/>
      <c r="BO29" s="317"/>
      <c r="BP29" s="317"/>
      <c r="BQ29" s="317"/>
      <c r="BR29" s="317"/>
      <c r="BS29" s="317"/>
      <c r="BT29" s="317"/>
      <c r="BU29" s="317"/>
      <c r="BV29" s="317"/>
      <c r="BW29" s="317"/>
      <c r="BX29" s="317"/>
      <c r="BY29" s="317"/>
      <c r="BZ29" s="317"/>
      <c r="CA29" s="317"/>
      <c r="CB29" s="317"/>
      <c r="CC29" s="317"/>
      <c r="CD29" s="317"/>
      <c r="CE29" s="317"/>
      <c r="CF29" s="317"/>
      <c r="CG29" s="317"/>
      <c r="CH29" s="317"/>
      <c r="CI29" s="317"/>
      <c r="CJ29" s="317"/>
      <c r="CK29" s="317"/>
      <c r="CL29" s="317"/>
      <c r="CM29" s="317"/>
      <c r="CN29" s="317"/>
      <c r="CO29" s="317"/>
      <c r="CP29" s="317"/>
      <c r="CQ29" s="317"/>
      <c r="CR29" s="317"/>
      <c r="CS29" s="317"/>
      <c r="CT29" s="317"/>
      <c r="CU29" s="317"/>
      <c r="CV29" s="317"/>
      <c r="CW29" s="317"/>
      <c r="CX29" s="317"/>
      <c r="CY29" s="317"/>
      <c r="CZ29" s="317"/>
      <c r="DA29" s="317"/>
      <c r="DB29" s="317"/>
      <c r="DC29" s="317"/>
      <c r="DD29" s="317"/>
      <c r="DE29" s="317"/>
      <c r="DF29" s="317"/>
      <c r="DG29" s="317"/>
      <c r="DH29" s="317"/>
      <c r="DI29" s="317"/>
      <c r="DJ29" s="317"/>
      <c r="DK29" s="317"/>
      <c r="DL29" s="317"/>
      <c r="DM29" s="317"/>
      <c r="DN29" s="317"/>
      <c r="DO29" s="317"/>
      <c r="DP29" s="317"/>
      <c r="DQ29" s="317"/>
      <c r="DR29" s="317"/>
      <c r="DS29" s="317"/>
      <c r="DT29" s="317"/>
      <c r="DU29" s="317"/>
      <c r="DV29" s="317"/>
      <c r="DW29" s="317"/>
      <c r="DX29" s="317"/>
      <c r="DY29" s="317"/>
      <c r="DZ29" s="317"/>
      <c r="EA29" s="317"/>
      <c r="EB29" s="317"/>
      <c r="EC29" s="317"/>
      <c r="ED29" s="317"/>
      <c r="EE29" s="317"/>
      <c r="EF29" s="317"/>
      <c r="EG29" s="317"/>
      <c r="EH29" s="317"/>
      <c r="EI29" s="317"/>
      <c r="EJ29" s="317"/>
      <c r="EK29" s="317"/>
      <c r="EL29" s="317"/>
      <c r="EM29" s="317"/>
      <c r="EN29" s="317"/>
      <c r="EO29" s="317"/>
      <c r="EP29" s="317"/>
      <c r="EQ29" s="317"/>
      <c r="ER29" s="317"/>
      <c r="ES29" s="317"/>
      <c r="ET29" s="317"/>
      <c r="EU29" s="317"/>
      <c r="EV29" s="317"/>
      <c r="EW29" s="317"/>
      <c r="EX29" s="317"/>
      <c r="EY29" s="317"/>
      <c r="EZ29" s="317"/>
      <c r="FA29" s="317"/>
      <c r="FB29" s="317"/>
      <c r="FC29" s="317"/>
      <c r="FD29" s="317"/>
      <c r="FE29" s="317"/>
      <c r="FF29" s="317"/>
      <c r="FG29" s="317"/>
      <c r="FH29" s="317"/>
      <c r="FI29" s="317"/>
      <c r="FJ29" s="317"/>
      <c r="FK29" s="317"/>
      <c r="FL29" s="317"/>
      <c r="FM29" s="317"/>
      <c r="FN29" s="317"/>
      <c r="FO29" s="317"/>
      <c r="FP29" s="317"/>
      <c r="FQ29" s="317"/>
      <c r="FR29" s="317"/>
      <c r="FS29" s="317"/>
      <c r="FT29" s="317"/>
      <c r="FU29" s="317"/>
      <c r="FV29" s="317"/>
      <c r="FW29" s="317"/>
      <c r="FX29" s="317"/>
      <c r="FY29" s="317"/>
      <c r="FZ29" s="317"/>
      <c r="GA29" s="317"/>
      <c r="GB29" s="317"/>
      <c r="GC29" s="317"/>
      <c r="GD29" s="317"/>
      <c r="GE29" s="317"/>
      <c r="GF29" s="317"/>
      <c r="GG29" s="317"/>
      <c r="GH29" s="317"/>
      <c r="GI29" s="317"/>
      <c r="GJ29" s="317"/>
      <c r="GK29" s="317"/>
      <c r="GL29" s="317"/>
      <c r="GM29" s="317"/>
      <c r="GN29" s="317"/>
      <c r="GO29" s="317"/>
      <c r="GP29" s="317"/>
      <c r="GQ29" s="317"/>
      <c r="GR29" s="317"/>
      <c r="GS29" s="317"/>
      <c r="GT29" s="317"/>
      <c r="GU29" s="317"/>
      <c r="GV29" s="317"/>
      <c r="GW29" s="317"/>
      <c r="GX29" s="317"/>
      <c r="GY29" s="317"/>
      <c r="GZ29" s="317"/>
      <c r="HA29" s="317"/>
      <c r="HB29" s="317"/>
      <c r="HC29" s="317"/>
      <c r="HD29" s="317"/>
      <c r="HE29" s="317"/>
      <c r="HF29" s="317"/>
      <c r="HG29" s="317"/>
      <c r="HH29" s="317"/>
      <c r="HI29" s="317"/>
      <c r="HJ29" s="317"/>
      <c r="HK29" s="317"/>
      <c r="HL29" s="317"/>
      <c r="HM29" s="31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row>
    <row r="30" spans="1:246" ht="2.25" customHeight="1">
      <c r="A30" s="272"/>
      <c r="B30" s="272"/>
      <c r="C30" s="272"/>
      <c r="D30" s="14"/>
      <c r="F30" s="14"/>
      <c r="H30" s="14"/>
      <c r="I30" s="14"/>
      <c r="J30" s="14"/>
      <c r="K30" s="314"/>
      <c r="M30" s="14"/>
      <c r="N30" s="314"/>
      <c r="O30" s="314"/>
      <c r="P30" s="314"/>
      <c r="R30" s="314"/>
      <c r="S30" s="314"/>
      <c r="T30" s="314"/>
      <c r="U30" s="314"/>
      <c r="W30" s="314"/>
      <c r="X30" s="315"/>
      <c r="Y30" s="316"/>
      <c r="Z30" s="316"/>
      <c r="AB30" s="314"/>
      <c r="AC30" s="316"/>
      <c r="AD30" s="275"/>
      <c r="AE30" s="275"/>
      <c r="AG30" s="317"/>
      <c r="AH30" s="317"/>
      <c r="AI30" s="317"/>
      <c r="AJ30" s="317"/>
      <c r="AK30" s="317"/>
      <c r="AL30" s="317"/>
      <c r="AM30" s="317"/>
      <c r="AN30" s="317"/>
      <c r="AO30" s="317"/>
      <c r="AP30" s="317"/>
      <c r="AQ30" s="317"/>
      <c r="AR30" s="317"/>
      <c r="AS30" s="317"/>
      <c r="AT30" s="317"/>
      <c r="AU30" s="317"/>
      <c r="AV30" s="317"/>
      <c r="AW30" s="317"/>
      <c r="AX30" s="317"/>
      <c r="AY30" s="317"/>
      <c r="AZ30" s="317"/>
      <c r="BA30" s="317"/>
      <c r="BB30" s="317"/>
      <c r="BC30" s="275"/>
      <c r="BD30" s="275"/>
      <c r="BE30" s="275"/>
      <c r="BF30" s="275"/>
      <c r="BG30" s="275"/>
      <c r="BH30" s="275"/>
      <c r="BI30" s="275"/>
      <c r="BJ30" s="275"/>
      <c r="BK30" s="275"/>
      <c r="BL30" s="275"/>
      <c r="BM30" s="275"/>
      <c r="BN30" s="275"/>
      <c r="BO30" s="275"/>
      <c r="BP30" s="275"/>
      <c r="BQ30" s="275"/>
      <c r="BR30" s="275"/>
      <c r="BS30" s="275"/>
      <c r="BT30" s="275"/>
      <c r="BU30" s="275"/>
      <c r="BV30" s="275"/>
      <c r="BW30" s="275"/>
      <c r="BX30" s="275"/>
      <c r="BY30" s="275"/>
      <c r="BZ30" s="275"/>
      <c r="CA30" s="275"/>
      <c r="CB30" s="275"/>
      <c r="CC30" s="275"/>
      <c r="CD30" s="275"/>
      <c r="CE30" s="275"/>
      <c r="CF30" s="275"/>
      <c r="CG30" s="275"/>
      <c r="CH30" s="275"/>
      <c r="CI30" s="275"/>
      <c r="CJ30" s="275"/>
      <c r="CK30" s="275"/>
      <c r="CL30" s="275"/>
      <c r="CM30" s="275"/>
      <c r="CN30" s="275"/>
      <c r="CO30" s="275"/>
      <c r="CP30" s="275"/>
      <c r="CQ30" s="275"/>
      <c r="CR30" s="275"/>
      <c r="CS30" s="275"/>
      <c r="CT30" s="275"/>
      <c r="CU30" s="275"/>
      <c r="CV30" s="275"/>
      <c r="CW30" s="275"/>
      <c r="CX30" s="275"/>
      <c r="CY30" s="275"/>
      <c r="CZ30" s="275"/>
      <c r="DA30" s="275"/>
      <c r="DB30" s="275"/>
      <c r="DC30" s="275"/>
      <c r="DD30" s="275"/>
      <c r="DE30" s="275"/>
      <c r="DF30" s="275"/>
      <c r="DG30" s="275"/>
      <c r="DH30" s="275"/>
      <c r="DI30" s="275"/>
      <c r="DJ30" s="275"/>
      <c r="DK30" s="275"/>
      <c r="DL30" s="275"/>
      <c r="DM30" s="275"/>
      <c r="DN30" s="275"/>
      <c r="DO30" s="275"/>
      <c r="DP30" s="275"/>
      <c r="DQ30" s="275"/>
      <c r="DR30" s="275"/>
      <c r="DS30" s="275"/>
      <c r="DT30" s="275"/>
      <c r="DU30" s="275"/>
      <c r="DV30" s="275"/>
      <c r="DW30" s="275"/>
      <c r="DX30" s="275"/>
      <c r="DY30" s="275"/>
      <c r="DZ30" s="275"/>
      <c r="EA30" s="275"/>
      <c r="EB30" s="275"/>
      <c r="EC30" s="275"/>
      <c r="ED30" s="275"/>
      <c r="EE30" s="275"/>
      <c r="EF30" s="275"/>
      <c r="EG30" s="275"/>
      <c r="EH30" s="275"/>
      <c r="EI30" s="275"/>
      <c r="EJ30" s="275"/>
      <c r="EK30" s="275"/>
      <c r="EL30" s="275"/>
      <c r="EM30" s="275"/>
      <c r="EN30" s="275"/>
      <c r="EO30" s="275"/>
      <c r="EP30" s="275"/>
      <c r="EQ30" s="275"/>
      <c r="ER30" s="275"/>
      <c r="ES30" s="275"/>
      <c r="ET30" s="275"/>
      <c r="EU30" s="275"/>
      <c r="EV30" s="275"/>
      <c r="EW30" s="275"/>
      <c r="EX30" s="275"/>
      <c r="EY30" s="275"/>
      <c r="EZ30" s="275"/>
      <c r="FA30" s="275"/>
      <c r="FB30" s="275"/>
      <c r="FC30" s="275"/>
      <c r="FD30" s="275"/>
      <c r="FE30" s="275"/>
      <c r="FF30" s="275"/>
      <c r="FG30" s="275"/>
      <c r="FH30" s="275"/>
      <c r="FI30" s="275"/>
      <c r="FJ30" s="275"/>
      <c r="FK30" s="275"/>
      <c r="FL30" s="275"/>
      <c r="FM30" s="275"/>
      <c r="FN30" s="275"/>
      <c r="FO30" s="275"/>
      <c r="FP30" s="275"/>
      <c r="FQ30" s="275"/>
      <c r="FR30" s="275"/>
      <c r="FS30" s="275"/>
      <c r="FT30" s="275"/>
      <c r="FU30" s="275"/>
      <c r="FV30" s="275"/>
      <c r="FW30" s="275"/>
      <c r="FX30" s="275"/>
      <c r="FY30" s="275"/>
      <c r="FZ30" s="275"/>
      <c r="GA30" s="275"/>
      <c r="GB30" s="275"/>
      <c r="GC30" s="275"/>
      <c r="GD30" s="275"/>
      <c r="GE30" s="275"/>
      <c r="GF30" s="275"/>
      <c r="GG30" s="275"/>
      <c r="GH30" s="275"/>
      <c r="GI30" s="275"/>
      <c r="GJ30" s="275"/>
      <c r="GK30" s="275"/>
      <c r="GL30" s="275"/>
      <c r="GM30" s="275"/>
      <c r="GN30" s="275"/>
      <c r="GO30" s="275"/>
      <c r="GP30" s="275"/>
      <c r="GQ30" s="275"/>
      <c r="GR30" s="275"/>
      <c r="GS30" s="275"/>
      <c r="GT30" s="275"/>
      <c r="GU30" s="275"/>
      <c r="GV30" s="275"/>
      <c r="GW30" s="275"/>
      <c r="GX30" s="275"/>
      <c r="GY30" s="275"/>
      <c r="GZ30" s="275"/>
      <c r="HA30" s="275"/>
      <c r="HB30" s="275"/>
      <c r="HC30" s="275"/>
      <c r="HD30" s="275"/>
      <c r="HE30" s="275"/>
      <c r="HF30" s="275"/>
      <c r="HG30" s="275"/>
      <c r="HH30" s="275"/>
      <c r="HI30" s="275"/>
      <c r="HJ30" s="275"/>
      <c r="HK30" s="275"/>
      <c r="HL30" s="275"/>
      <c r="HM30" s="275"/>
      <c r="HN30" s="275"/>
      <c r="HO30" s="275"/>
      <c r="HP30" s="275"/>
      <c r="HQ30" s="275"/>
      <c r="HR30" s="275"/>
      <c r="HS30" s="275"/>
      <c r="HT30" s="275"/>
      <c r="HU30" s="275"/>
      <c r="HV30" s="275"/>
      <c r="HW30" s="275"/>
      <c r="HX30" s="275"/>
      <c r="HY30" s="275"/>
      <c r="HZ30" s="275"/>
      <c r="IA30" s="275"/>
      <c r="IB30" s="275"/>
      <c r="IC30" s="275"/>
      <c r="ID30" s="275"/>
      <c r="IE30" s="275"/>
      <c r="IF30" s="275"/>
      <c r="IG30" s="275"/>
      <c r="IH30" s="275"/>
      <c r="II30" s="275"/>
      <c r="IJ30" s="275"/>
      <c r="IK30" s="275"/>
      <c r="IL30" s="275"/>
    </row>
    <row r="31" spans="1:246" ht="12" customHeight="1">
      <c r="A31" s="578" t="s">
        <v>245</v>
      </c>
      <c r="B31" s="578"/>
      <c r="C31" s="372"/>
      <c r="D31" s="181"/>
      <c r="F31" s="181"/>
      <c r="H31" s="181"/>
      <c r="I31" s="181"/>
      <c r="J31" s="181"/>
      <c r="K31" s="176"/>
      <c r="M31" s="181"/>
      <c r="N31" s="176"/>
      <c r="O31" s="176"/>
      <c r="P31" s="176"/>
      <c r="R31" s="176"/>
      <c r="S31" s="176"/>
      <c r="T31" s="318"/>
      <c r="U31" s="176"/>
      <c r="W31" s="314"/>
      <c r="X31" s="319"/>
      <c r="Y31" s="46"/>
      <c r="Z31" s="46"/>
      <c r="AB31" s="314"/>
      <c r="AC31" s="46"/>
      <c r="AG31" s="51"/>
    </row>
    <row r="32" spans="1:246" ht="12" customHeight="1">
      <c r="A32" s="526" t="s">
        <v>246</v>
      </c>
      <c r="B32" s="497"/>
      <c r="D32" s="174">
        <v>2000</v>
      </c>
      <c r="F32" s="177">
        <v>2000</v>
      </c>
      <c r="H32" s="177">
        <v>2000</v>
      </c>
      <c r="I32" s="174">
        <v>2000</v>
      </c>
      <c r="J32" s="174">
        <v>2000</v>
      </c>
      <c r="K32" s="174">
        <v>2000</v>
      </c>
      <c r="M32" s="177">
        <v>2000</v>
      </c>
      <c r="N32" s="174">
        <v>2000</v>
      </c>
      <c r="O32" s="174">
        <v>2000</v>
      </c>
      <c r="P32" s="174">
        <v>2000</v>
      </c>
      <c r="R32" s="177">
        <v>2000</v>
      </c>
      <c r="S32" s="174">
        <v>2000</v>
      </c>
      <c r="T32" s="174">
        <v>2000</v>
      </c>
      <c r="U32" s="174">
        <v>2000</v>
      </c>
      <c r="W32" s="177">
        <v>2000</v>
      </c>
      <c r="X32" s="217">
        <v>2000</v>
      </c>
      <c r="Y32" s="217">
        <v>2000</v>
      </c>
      <c r="Z32" s="217">
        <v>2000</v>
      </c>
      <c r="AB32" s="177">
        <v>2000</v>
      </c>
      <c r="AC32" s="217">
        <v>2000</v>
      </c>
      <c r="AD32" s="217">
        <v>2000</v>
      </c>
      <c r="AE32" s="174">
        <v>2000</v>
      </c>
      <c r="AG32" s="217">
        <v>2000</v>
      </c>
      <c r="AH32" s="217">
        <v>2000</v>
      </c>
      <c r="AI32" s="217">
        <v>2000</v>
      </c>
      <c r="AJ32" s="217">
        <v>2000</v>
      </c>
      <c r="AK32" s="217">
        <v>2000</v>
      </c>
      <c r="AL32" s="217">
        <v>2000</v>
      </c>
      <c r="AM32" s="217">
        <v>2000</v>
      </c>
      <c r="AN32" s="217">
        <v>2000</v>
      </c>
      <c r="AO32" s="217">
        <v>2000</v>
      </c>
      <c r="AP32" s="217">
        <v>2000</v>
      </c>
      <c r="AQ32" s="217">
        <v>2000</v>
      </c>
      <c r="AR32" s="217">
        <v>2000</v>
      </c>
      <c r="AS32" s="217">
        <v>2000</v>
      </c>
      <c r="AT32" s="217">
        <v>2000</v>
      </c>
      <c r="AU32" s="217">
        <v>2000</v>
      </c>
      <c r="AV32" s="217">
        <v>2000</v>
      </c>
      <c r="AW32" s="217">
        <v>2000</v>
      </c>
      <c r="AX32" s="217">
        <v>2000</v>
      </c>
      <c r="AY32" s="217">
        <v>2000</v>
      </c>
      <c r="AZ32" s="217">
        <v>2000</v>
      </c>
      <c r="BA32" s="217">
        <v>2000</v>
      </c>
      <c r="BB32" s="340">
        <v>2000</v>
      </c>
    </row>
    <row r="33" spans="1:54" ht="12" customHeight="1">
      <c r="A33" s="526" t="s">
        <v>247</v>
      </c>
      <c r="B33" s="497"/>
      <c r="D33" s="174">
        <v>377</v>
      </c>
      <c r="F33" s="177">
        <v>-64</v>
      </c>
      <c r="H33" s="177">
        <v>48</v>
      </c>
      <c r="I33" s="174">
        <v>-64</v>
      </c>
      <c r="J33" s="174">
        <v>-75</v>
      </c>
      <c r="K33" s="174">
        <v>-183</v>
      </c>
      <c r="M33" s="177">
        <v>26</v>
      </c>
      <c r="N33" s="174">
        <v>100</v>
      </c>
      <c r="O33" s="174">
        <v>170</v>
      </c>
      <c r="P33" s="174">
        <v>158</v>
      </c>
      <c r="R33" s="177">
        <v>-556</v>
      </c>
      <c r="S33" s="174">
        <v>-636</v>
      </c>
      <c r="T33" s="174">
        <v>-537</v>
      </c>
      <c r="U33" s="174">
        <v>-444</v>
      </c>
      <c r="W33" s="177">
        <v>-682</v>
      </c>
      <c r="X33" s="217">
        <v>-468</v>
      </c>
      <c r="Y33" s="217">
        <v>-767</v>
      </c>
      <c r="Z33" s="217">
        <v>-738</v>
      </c>
      <c r="AB33" s="177">
        <v>-796</v>
      </c>
      <c r="AC33" s="217">
        <v>-897</v>
      </c>
      <c r="AD33" s="217">
        <v>-786</v>
      </c>
      <c r="AE33" s="174">
        <v>-1430</v>
      </c>
      <c r="AG33" s="217">
        <v>-2189</v>
      </c>
      <c r="AH33" s="217">
        <v>-2076</v>
      </c>
      <c r="AI33" s="217">
        <v>-1452</v>
      </c>
      <c r="AJ33" s="217">
        <v>-1705</v>
      </c>
      <c r="AK33" s="217">
        <v>-1949</v>
      </c>
      <c r="AL33" s="217">
        <v>-670</v>
      </c>
      <c r="AM33" s="217">
        <v>-1085</v>
      </c>
      <c r="AN33" s="217">
        <v>-427</v>
      </c>
      <c r="AO33" s="217">
        <v>-469</v>
      </c>
      <c r="AP33" s="217">
        <v>180</v>
      </c>
      <c r="AQ33" s="217">
        <v>20</v>
      </c>
      <c r="AR33" s="217">
        <v>277</v>
      </c>
      <c r="AS33" s="217">
        <v>47</v>
      </c>
      <c r="AT33" s="217">
        <v>43</v>
      </c>
      <c r="AU33" s="217">
        <v>-120</v>
      </c>
      <c r="AV33" s="217">
        <v>-162</v>
      </c>
      <c r="AW33" s="217">
        <v>62</v>
      </c>
      <c r="AX33" s="217">
        <v>684</v>
      </c>
      <c r="AY33" s="217">
        <v>411</v>
      </c>
      <c r="AZ33" s="217">
        <v>-1729</v>
      </c>
      <c r="BA33" s="217">
        <v>-1391</v>
      </c>
      <c r="BB33" s="340">
        <v>-271</v>
      </c>
    </row>
    <row r="34" spans="1:54" ht="21" customHeight="1">
      <c r="A34" s="526"/>
      <c r="B34" s="497" t="s">
        <v>248</v>
      </c>
      <c r="D34" s="174">
        <v>741</v>
      </c>
      <c r="F34" s="177">
        <v>1868</v>
      </c>
      <c r="H34" s="177">
        <v>1704</v>
      </c>
      <c r="I34" s="174">
        <v>1917</v>
      </c>
      <c r="J34" s="174">
        <v>1869</v>
      </c>
      <c r="K34" s="174">
        <v>2216</v>
      </c>
      <c r="M34" s="177">
        <v>2160</v>
      </c>
      <c r="N34" s="174">
        <v>2272</v>
      </c>
      <c r="O34" s="174">
        <v>2341</v>
      </c>
      <c r="P34" s="174">
        <v>2427</v>
      </c>
      <c r="R34" s="177">
        <v>2313</v>
      </c>
      <c r="S34" s="174">
        <v>2094</v>
      </c>
      <c r="T34" s="174">
        <v>2172</v>
      </c>
      <c r="U34" s="174">
        <v>2005</v>
      </c>
      <c r="W34" s="177">
        <v>1906</v>
      </c>
      <c r="X34" s="217">
        <v>1897</v>
      </c>
      <c r="Y34" s="217">
        <v>1845</v>
      </c>
      <c r="Z34" s="217">
        <v>1954</v>
      </c>
      <c r="AB34" s="177">
        <v>1583</v>
      </c>
      <c r="AC34" s="217">
        <v>1616</v>
      </c>
      <c r="AD34" s="217">
        <v>1657</v>
      </c>
      <c r="AE34" s="174">
        <v>1728</v>
      </c>
      <c r="AG34" s="217">
        <v>1550</v>
      </c>
      <c r="AH34" s="217">
        <v>1755</v>
      </c>
      <c r="AI34" s="217">
        <v>1817</v>
      </c>
      <c r="AJ34" s="217">
        <v>2219</v>
      </c>
      <c r="AK34" s="217">
        <v>2123</v>
      </c>
      <c r="AL34" s="217">
        <v>2145</v>
      </c>
      <c r="AM34" s="217">
        <v>2093</v>
      </c>
      <c r="AN34" s="217">
        <v>1812</v>
      </c>
      <c r="AO34" s="217">
        <v>1716</v>
      </c>
      <c r="AP34" s="217">
        <v>1647</v>
      </c>
      <c r="AQ34" s="217">
        <v>1689</v>
      </c>
      <c r="AR34" s="217">
        <v>1482</v>
      </c>
      <c r="AS34" s="217">
        <v>1557</v>
      </c>
      <c r="AT34" s="217">
        <v>1694</v>
      </c>
      <c r="AU34" s="217">
        <v>1629</v>
      </c>
      <c r="AV34" s="217">
        <v>1778</v>
      </c>
      <c r="AW34" s="217">
        <v>1578</v>
      </c>
      <c r="AX34" s="217">
        <v>1410</v>
      </c>
      <c r="AY34" s="217">
        <v>1514</v>
      </c>
      <c r="AZ34" s="217">
        <f>1645-150</f>
        <v>1495</v>
      </c>
      <c r="BA34" s="217">
        <v>1741</v>
      </c>
      <c r="BB34" s="340">
        <v>1677</v>
      </c>
    </row>
    <row r="35" spans="1:54" ht="12" customHeight="1">
      <c r="A35" s="526" t="s">
        <v>249</v>
      </c>
      <c r="B35" s="497"/>
      <c r="D35" s="174">
        <v>22184</v>
      </c>
      <c r="F35" s="177">
        <v>16407</v>
      </c>
      <c r="H35" s="177">
        <v>16569</v>
      </c>
      <c r="I35" s="174">
        <v>16405</v>
      </c>
      <c r="J35" s="174">
        <v>16735</v>
      </c>
      <c r="K35" s="174">
        <v>11739</v>
      </c>
      <c r="M35" s="177">
        <v>12449</v>
      </c>
      <c r="N35" s="174">
        <v>12591</v>
      </c>
      <c r="O35" s="174">
        <v>13195</v>
      </c>
      <c r="P35" s="174">
        <v>13109</v>
      </c>
      <c r="R35" s="177">
        <v>14354</v>
      </c>
      <c r="S35" s="174">
        <v>14525</v>
      </c>
      <c r="T35" s="174">
        <v>14889</v>
      </c>
      <c r="U35" s="174">
        <v>15572</v>
      </c>
      <c r="W35" s="177">
        <v>16124</v>
      </c>
      <c r="X35" s="217">
        <v>16442</v>
      </c>
      <c r="Y35" s="217">
        <v>17137</v>
      </c>
      <c r="Z35" s="217">
        <v>16894</v>
      </c>
      <c r="AB35" s="177">
        <v>17586</v>
      </c>
      <c r="AC35" s="217">
        <v>17596</v>
      </c>
      <c r="AD35" s="217">
        <v>18068</v>
      </c>
      <c r="AE35" s="174">
        <v>18694</v>
      </c>
      <c r="AG35" s="217">
        <v>20042</v>
      </c>
      <c r="AH35" s="217">
        <v>22101</v>
      </c>
      <c r="AI35" s="217">
        <v>23138</v>
      </c>
      <c r="AJ35" s="217">
        <v>24532</v>
      </c>
      <c r="AK35" s="217">
        <v>26432</v>
      </c>
      <c r="AL35" s="217">
        <v>28112</v>
      </c>
      <c r="AM35" s="217">
        <v>29198</v>
      </c>
      <c r="AN35" s="217">
        <v>28704</v>
      </c>
      <c r="AO35" s="217">
        <v>28867</v>
      </c>
      <c r="AP35" s="217">
        <v>28898</v>
      </c>
      <c r="AQ35" s="217">
        <v>29332</v>
      </c>
      <c r="AR35" s="217">
        <v>24806</v>
      </c>
      <c r="AS35" s="217">
        <v>25230</v>
      </c>
      <c r="AT35" s="217">
        <v>25579</v>
      </c>
      <c r="AU35" s="217">
        <v>25819</v>
      </c>
      <c r="AV35" s="217">
        <v>27374</v>
      </c>
      <c r="AW35" s="217">
        <v>27704</v>
      </c>
      <c r="AX35" s="217">
        <v>27953</v>
      </c>
      <c r="AY35" s="217">
        <v>28386</v>
      </c>
      <c r="AZ35" s="217">
        <f>30912+150</f>
        <v>31062</v>
      </c>
      <c r="BA35" s="217">
        <v>34591</v>
      </c>
      <c r="BB35" s="340">
        <v>36336</v>
      </c>
    </row>
    <row r="36" spans="1:54" ht="13.5" customHeight="1">
      <c r="A36" s="573" t="s">
        <v>250</v>
      </c>
      <c r="B36" s="573"/>
      <c r="D36" s="174">
        <v>25302</v>
      </c>
      <c r="F36" s="177">
        <f>F32+F33+F35+F34</f>
        <v>20211</v>
      </c>
      <c r="H36" s="177">
        <f>H32+H33+H35+H34</f>
        <v>20321</v>
      </c>
      <c r="I36" s="174">
        <f>I32+I33+I35+I34</f>
        <v>20258</v>
      </c>
      <c r="J36" s="174">
        <f>J32+J33+J35+J34</f>
        <v>20529</v>
      </c>
      <c r="K36" s="174">
        <f>K32+K33+K35+K34</f>
        <v>15772</v>
      </c>
      <c r="M36" s="177">
        <v>16635</v>
      </c>
      <c r="N36" s="174">
        <f>N35+N34+N33+N32</f>
        <v>16963</v>
      </c>
      <c r="O36" s="174">
        <v>17706</v>
      </c>
      <c r="P36" s="174">
        <f>SUM(P32:P35)</f>
        <v>17694</v>
      </c>
      <c r="R36" s="177">
        <f>SUM(R32:R35)</f>
        <v>18111</v>
      </c>
      <c r="S36" s="174">
        <f>SUM(S32:S35)</f>
        <v>17983</v>
      </c>
      <c r="T36" s="174">
        <f>SUM(T32:T35)</f>
        <v>18524</v>
      </c>
      <c r="U36" s="174">
        <f>U32+U33+U34+U35</f>
        <v>19133</v>
      </c>
      <c r="W36" s="177">
        <f>W32+W33+W34+W35</f>
        <v>19348</v>
      </c>
      <c r="X36" s="217">
        <v>19871</v>
      </c>
      <c r="Y36" s="217">
        <f>Y32+Y33+Y34+Y35</f>
        <v>20215</v>
      </c>
      <c r="Z36" s="217">
        <v>20110</v>
      </c>
      <c r="AB36" s="177">
        <v>20373</v>
      </c>
      <c r="AC36" s="217">
        <v>20315</v>
      </c>
      <c r="AD36" s="217">
        <v>20939</v>
      </c>
      <c r="AE36" s="174">
        <v>20992</v>
      </c>
      <c r="AG36" s="217">
        <v>21403</v>
      </c>
      <c r="AH36" s="217">
        <v>23780</v>
      </c>
      <c r="AI36" s="217">
        <v>25503</v>
      </c>
      <c r="AJ36" s="217">
        <v>27046</v>
      </c>
      <c r="AK36" s="217">
        <v>28606</v>
      </c>
      <c r="AL36" s="217">
        <v>31587</v>
      </c>
      <c r="AM36" s="217">
        <v>32206</v>
      </c>
      <c r="AN36" s="217">
        <v>32089</v>
      </c>
      <c r="AO36" s="217">
        <v>32114</v>
      </c>
      <c r="AP36" s="217">
        <v>32725</v>
      </c>
      <c r="AQ36" s="217">
        <v>33041</v>
      </c>
      <c r="AR36" s="217">
        <v>28565</v>
      </c>
      <c r="AS36" s="217">
        <v>28834</v>
      </c>
      <c r="AT36" s="217">
        <v>29316</v>
      </c>
      <c r="AU36" s="217">
        <v>29328</v>
      </c>
      <c r="AV36" s="217">
        <v>30990</v>
      </c>
      <c r="AW36" s="217">
        <v>31344</v>
      </c>
      <c r="AX36" s="217">
        <v>32047</v>
      </c>
      <c r="AY36" s="217">
        <v>32311</v>
      </c>
      <c r="AZ36" s="217">
        <v>32828</v>
      </c>
      <c r="BA36" s="217">
        <v>36941</v>
      </c>
      <c r="BB36" s="340">
        <v>39742</v>
      </c>
    </row>
    <row r="37" spans="1:54" ht="12" customHeight="1">
      <c r="A37" s="579" t="s">
        <v>251</v>
      </c>
      <c r="B37" s="579"/>
      <c r="C37" s="320"/>
      <c r="D37" s="174">
        <v>228</v>
      </c>
      <c r="F37" s="177">
        <v>203</v>
      </c>
      <c r="H37" s="177">
        <v>218</v>
      </c>
      <c r="I37" s="174">
        <v>218</v>
      </c>
      <c r="J37" s="174">
        <v>215</v>
      </c>
      <c r="K37" s="174">
        <v>139</v>
      </c>
      <c r="M37" s="177">
        <v>136</v>
      </c>
      <c r="N37" s="174">
        <v>136</v>
      </c>
      <c r="O37" s="174">
        <v>144</v>
      </c>
      <c r="P37" s="174">
        <v>91</v>
      </c>
      <c r="R37" s="177">
        <v>90</v>
      </c>
      <c r="S37" s="174">
        <v>91</v>
      </c>
      <c r="T37" s="174">
        <v>93</v>
      </c>
      <c r="U37" s="174">
        <v>92</v>
      </c>
      <c r="W37" s="177">
        <v>93</v>
      </c>
      <c r="X37" s="217">
        <v>93</v>
      </c>
      <c r="Y37" s="217">
        <v>95</v>
      </c>
      <c r="Z37" s="217">
        <v>92</v>
      </c>
      <c r="AB37" s="177">
        <v>90</v>
      </c>
      <c r="AC37" s="217">
        <v>89</v>
      </c>
      <c r="AD37" s="217">
        <v>90</v>
      </c>
      <c r="AE37" s="174">
        <v>89</v>
      </c>
      <c r="AG37" s="217">
        <v>88</v>
      </c>
      <c r="AH37" s="217">
        <v>87</v>
      </c>
      <c r="AI37" s="217">
        <v>90</v>
      </c>
      <c r="AJ37" s="217">
        <v>92</v>
      </c>
      <c r="AK37" s="217">
        <v>55</v>
      </c>
      <c r="AL37" s="217">
        <v>57</v>
      </c>
      <c r="AM37" s="217">
        <v>58</v>
      </c>
      <c r="AN37" s="217">
        <v>57</v>
      </c>
      <c r="AO37" s="217">
        <v>58</v>
      </c>
      <c r="AP37" s="217">
        <v>66</v>
      </c>
      <c r="AQ37" s="217">
        <v>67</v>
      </c>
      <c r="AR37" s="217">
        <v>65</v>
      </c>
      <c r="AS37" s="217">
        <v>66</v>
      </c>
      <c r="AT37" s="217">
        <v>67</v>
      </c>
      <c r="AU37" s="217">
        <v>66</v>
      </c>
      <c r="AV37" s="217">
        <v>68</v>
      </c>
      <c r="AW37" s="217">
        <v>67</v>
      </c>
      <c r="AX37" s="217">
        <v>68</v>
      </c>
      <c r="AY37" s="217">
        <v>69</v>
      </c>
      <c r="AZ37" s="217">
        <v>70</v>
      </c>
      <c r="BA37" s="217">
        <v>70</v>
      </c>
      <c r="BB37" s="340">
        <v>72</v>
      </c>
    </row>
    <row r="38" spans="1:54" ht="12" customHeight="1">
      <c r="A38" s="576" t="s">
        <v>252</v>
      </c>
      <c r="B38" s="576"/>
      <c r="C38" s="372"/>
      <c r="D38" s="173">
        <v>25530</v>
      </c>
      <c r="F38" s="175">
        <f>F32+F33+F35+F37+F34</f>
        <v>20414</v>
      </c>
      <c r="H38" s="175">
        <f>H32+H33+H35+H37+H34</f>
        <v>20539</v>
      </c>
      <c r="I38" s="173">
        <f>I32+I33+I35+I37+I34</f>
        <v>20476</v>
      </c>
      <c r="J38" s="173">
        <f>J32+J33+J35+J37+J34</f>
        <v>20744</v>
      </c>
      <c r="K38" s="173">
        <f>K32+K33+K35+K37+K34</f>
        <v>15911</v>
      </c>
      <c r="M38" s="175">
        <f t="shared" ref="M38:T38" si="0">M32+M33+M35+M37+M34</f>
        <v>16771</v>
      </c>
      <c r="N38" s="173">
        <f t="shared" si="0"/>
        <v>17099</v>
      </c>
      <c r="O38" s="173">
        <f t="shared" si="0"/>
        <v>17850</v>
      </c>
      <c r="P38" s="173">
        <f t="shared" si="0"/>
        <v>17785</v>
      </c>
      <c r="R38" s="175">
        <f t="shared" si="0"/>
        <v>18201</v>
      </c>
      <c r="S38" s="173">
        <f t="shared" si="0"/>
        <v>18074</v>
      </c>
      <c r="T38" s="173">
        <f t="shared" si="0"/>
        <v>18617</v>
      </c>
      <c r="U38" s="173">
        <f>U37+U36</f>
        <v>19225</v>
      </c>
      <c r="W38" s="175">
        <f>W37+W36</f>
        <v>19441</v>
      </c>
      <c r="X38" s="191">
        <f>X37+X36</f>
        <v>19964</v>
      </c>
      <c r="Y38" s="191">
        <f>Y37+Y36</f>
        <v>20310</v>
      </c>
      <c r="Z38" s="191">
        <v>20202</v>
      </c>
      <c r="AB38" s="175">
        <v>20463</v>
      </c>
      <c r="AC38" s="191">
        <v>20404</v>
      </c>
      <c r="AD38" s="191">
        <v>21029</v>
      </c>
      <c r="AE38" s="173">
        <v>21081</v>
      </c>
      <c r="AG38" s="191">
        <v>21491</v>
      </c>
      <c r="AH38" s="191">
        <v>23867</v>
      </c>
      <c r="AI38" s="191">
        <v>25593</v>
      </c>
      <c r="AJ38" s="191">
        <v>27138</v>
      </c>
      <c r="AK38" s="191">
        <v>28661</v>
      </c>
      <c r="AL38" s="191">
        <v>31644</v>
      </c>
      <c r="AM38" s="191">
        <v>32264</v>
      </c>
      <c r="AN38" s="191">
        <v>32146</v>
      </c>
      <c r="AO38" s="191">
        <v>32172</v>
      </c>
      <c r="AP38" s="191">
        <v>32791</v>
      </c>
      <c r="AQ38" s="191">
        <v>33108</v>
      </c>
      <c r="AR38" s="191">
        <v>28630</v>
      </c>
      <c r="AS38" s="191">
        <v>28900</v>
      </c>
      <c r="AT38" s="191">
        <f>AT36+AT37</f>
        <v>29383</v>
      </c>
      <c r="AU38" s="191">
        <f>AU36+AU37</f>
        <v>29394</v>
      </c>
      <c r="AV38" s="191">
        <v>31058</v>
      </c>
      <c r="AW38" s="191">
        <v>31411</v>
      </c>
      <c r="AX38" s="191">
        <v>32115</v>
      </c>
      <c r="AY38" s="191">
        <v>32380</v>
      </c>
      <c r="AZ38" s="191">
        <v>32898</v>
      </c>
      <c r="BA38" s="191">
        <v>37011</v>
      </c>
      <c r="BB38" s="339">
        <v>39814</v>
      </c>
    </row>
    <row r="39" spans="1:54" ht="20.25" customHeight="1">
      <c r="A39" s="526" t="s">
        <v>253</v>
      </c>
      <c r="B39"/>
      <c r="D39" s="174">
        <v>2997</v>
      </c>
      <c r="F39" s="177">
        <v>4870</v>
      </c>
      <c r="H39" s="177">
        <v>4412</v>
      </c>
      <c r="I39" s="174">
        <v>5816</v>
      </c>
      <c r="J39" s="174">
        <v>6469</v>
      </c>
      <c r="K39" s="174">
        <v>6539</v>
      </c>
      <c r="M39" s="177">
        <v>5587</v>
      </c>
      <c r="N39" s="174">
        <v>5493</v>
      </c>
      <c r="O39" s="174">
        <v>5790</v>
      </c>
      <c r="P39" s="174">
        <v>6191</v>
      </c>
      <c r="R39" s="177">
        <v>5986</v>
      </c>
      <c r="S39" s="174">
        <v>7472</v>
      </c>
      <c r="T39" s="174">
        <v>7134</v>
      </c>
      <c r="U39" s="174">
        <v>6878</v>
      </c>
      <c r="W39" s="177">
        <v>6867</v>
      </c>
      <c r="X39" s="217">
        <v>7910</v>
      </c>
      <c r="Y39" s="217">
        <v>7795</v>
      </c>
      <c r="Z39" s="217">
        <v>7525</v>
      </c>
      <c r="AB39" s="177">
        <v>9218</v>
      </c>
      <c r="AC39" s="217">
        <v>7697</v>
      </c>
      <c r="AD39" s="217">
        <v>7093</v>
      </c>
      <c r="AE39" s="174">
        <v>6928</v>
      </c>
      <c r="AG39" s="217">
        <v>6106</v>
      </c>
      <c r="AH39" s="217">
        <v>5505</v>
      </c>
      <c r="AI39" s="217">
        <v>5554</v>
      </c>
      <c r="AJ39" s="217">
        <v>5409</v>
      </c>
      <c r="AK39" s="217">
        <v>4809</v>
      </c>
      <c r="AL39" s="217">
        <v>4786</v>
      </c>
      <c r="AM39" s="217">
        <v>5549</v>
      </c>
      <c r="AN39" s="217">
        <v>5220</v>
      </c>
      <c r="AO39" s="217">
        <v>5899</v>
      </c>
      <c r="AP39" s="217">
        <v>5046</v>
      </c>
      <c r="AQ39" s="217">
        <v>5363</v>
      </c>
      <c r="AR39" s="217">
        <v>4761</v>
      </c>
      <c r="AS39" s="217">
        <v>5313</v>
      </c>
      <c r="AT39" s="217">
        <v>4987</v>
      </c>
      <c r="AU39" s="217">
        <v>4953</v>
      </c>
      <c r="AV39" s="217">
        <f>2310+2600</f>
        <v>4910</v>
      </c>
      <c r="AW39" s="217">
        <f>2363+2600</f>
        <v>4963</v>
      </c>
      <c r="AX39" s="217">
        <f>2671+2600</f>
        <v>5271</v>
      </c>
      <c r="AY39" s="217">
        <f>2659+2600</f>
        <v>5259</v>
      </c>
      <c r="AZ39" s="217">
        <f>2434+2600</f>
        <v>5034</v>
      </c>
      <c r="BA39" s="217">
        <f>2242+2600</f>
        <v>4842</v>
      </c>
      <c r="BB39" s="340">
        <f>1928+2600</f>
        <v>4528</v>
      </c>
    </row>
    <row r="40" spans="1:54" ht="12" customHeight="1">
      <c r="A40" s="526" t="s">
        <v>229</v>
      </c>
      <c r="B40" s="526"/>
      <c r="D40" s="174">
        <v>123</v>
      </c>
      <c r="F40" s="177">
        <v>159</v>
      </c>
      <c r="H40" s="177">
        <v>154</v>
      </c>
      <c r="I40" s="174">
        <v>211</v>
      </c>
      <c r="J40" s="174">
        <v>125</v>
      </c>
      <c r="K40" s="174">
        <v>256</v>
      </c>
      <c r="M40" s="177">
        <v>153</v>
      </c>
      <c r="N40" s="174">
        <v>118</v>
      </c>
      <c r="O40" s="174">
        <v>169</v>
      </c>
      <c r="P40" s="174">
        <v>208</v>
      </c>
      <c r="R40" s="177">
        <v>178</v>
      </c>
      <c r="S40" s="174">
        <v>204</v>
      </c>
      <c r="T40" s="174">
        <v>183</v>
      </c>
      <c r="U40" s="174">
        <v>162</v>
      </c>
      <c r="W40" s="177">
        <v>171</v>
      </c>
      <c r="X40" s="217">
        <v>127</v>
      </c>
      <c r="Y40" s="217">
        <v>395</v>
      </c>
      <c r="Z40" s="217">
        <v>183</v>
      </c>
      <c r="AB40" s="177">
        <v>588</v>
      </c>
      <c r="AC40" s="217">
        <v>574</v>
      </c>
      <c r="AD40" s="217">
        <v>825</v>
      </c>
      <c r="AE40" s="174">
        <v>1006</v>
      </c>
      <c r="AG40" s="217">
        <v>1253</v>
      </c>
      <c r="AH40" s="217">
        <v>1156</v>
      </c>
      <c r="AI40" s="217">
        <v>975</v>
      </c>
      <c r="AJ40" s="217">
        <v>1134</v>
      </c>
      <c r="AK40" s="217">
        <v>1163</v>
      </c>
      <c r="AL40" s="217">
        <v>1079</v>
      </c>
      <c r="AM40" s="217">
        <v>1544</v>
      </c>
      <c r="AN40" s="217">
        <v>719</v>
      </c>
      <c r="AO40" s="217">
        <v>540</v>
      </c>
      <c r="AP40" s="217">
        <v>453</v>
      </c>
      <c r="AQ40" s="217">
        <v>384</v>
      </c>
      <c r="AR40" s="217">
        <v>202</v>
      </c>
      <c r="AS40" s="217">
        <v>173</v>
      </c>
      <c r="AT40" s="217">
        <v>228</v>
      </c>
      <c r="AU40" s="217">
        <v>182</v>
      </c>
      <c r="AV40" s="217">
        <v>269</v>
      </c>
      <c r="AW40" s="217">
        <v>161</v>
      </c>
      <c r="AX40" s="217">
        <v>142</v>
      </c>
      <c r="AY40" s="217">
        <v>390</v>
      </c>
      <c r="AZ40" s="217">
        <v>1626</v>
      </c>
      <c r="BA40" s="217">
        <v>1959</v>
      </c>
      <c r="BB40" s="340">
        <v>1225</v>
      </c>
    </row>
    <row r="41" spans="1:54" ht="12" customHeight="1">
      <c r="A41" s="526" t="s">
        <v>254</v>
      </c>
      <c r="B41" s="526"/>
      <c r="D41" s="174">
        <v>2011</v>
      </c>
      <c r="F41" s="177">
        <v>1979</v>
      </c>
      <c r="H41" s="177">
        <v>2033</v>
      </c>
      <c r="I41" s="174">
        <v>2071</v>
      </c>
      <c r="J41" s="174">
        <v>2012</v>
      </c>
      <c r="K41" s="174">
        <v>1860</v>
      </c>
      <c r="M41" s="177">
        <v>2061</v>
      </c>
      <c r="N41" s="174">
        <v>2071</v>
      </c>
      <c r="O41" s="174">
        <v>2063</v>
      </c>
      <c r="P41" s="174">
        <v>2063</v>
      </c>
      <c r="R41" s="177">
        <v>2234</v>
      </c>
      <c r="S41" s="174">
        <v>2328</v>
      </c>
      <c r="T41" s="174">
        <v>2318</v>
      </c>
      <c r="U41" s="174">
        <v>2447</v>
      </c>
      <c r="W41" s="177">
        <v>2534</v>
      </c>
      <c r="X41" s="217">
        <v>2649</v>
      </c>
      <c r="Y41" s="217">
        <v>2573</v>
      </c>
      <c r="Z41" s="217">
        <v>2613</v>
      </c>
      <c r="AB41" s="177">
        <v>2772</v>
      </c>
      <c r="AC41" s="217">
        <v>2874</v>
      </c>
      <c r="AD41" s="217">
        <v>2986</v>
      </c>
      <c r="AE41" s="174">
        <v>3016</v>
      </c>
      <c r="AG41" s="217">
        <v>3048</v>
      </c>
      <c r="AH41" s="217">
        <v>2942</v>
      </c>
      <c r="AI41" s="217">
        <v>2884</v>
      </c>
      <c r="AJ41" s="217">
        <v>2306</v>
      </c>
      <c r="AK41" s="217">
        <v>2353</v>
      </c>
      <c r="AL41" s="217">
        <v>2292</v>
      </c>
      <c r="AM41" s="217">
        <v>2553</v>
      </c>
      <c r="AN41" s="217">
        <v>2621</v>
      </c>
      <c r="AO41" s="217">
        <v>2692</v>
      </c>
      <c r="AP41" s="217">
        <v>2778</v>
      </c>
      <c r="AQ41" s="217">
        <v>2896</v>
      </c>
      <c r="AR41" s="217">
        <v>3117</v>
      </c>
      <c r="AS41" s="217">
        <v>2934</v>
      </c>
      <c r="AT41" s="217">
        <v>2814</v>
      </c>
      <c r="AU41" s="217">
        <v>2940</v>
      </c>
      <c r="AV41" s="217">
        <v>2784</v>
      </c>
      <c r="AW41" s="217">
        <v>2847</v>
      </c>
      <c r="AX41" s="217">
        <v>2934</v>
      </c>
      <c r="AY41" s="217">
        <v>2857</v>
      </c>
      <c r="AZ41" s="217">
        <v>2892</v>
      </c>
      <c r="BA41" s="217">
        <v>2744</v>
      </c>
      <c r="BB41" s="340">
        <v>3009</v>
      </c>
    </row>
    <row r="42" spans="1:54" ht="12" customHeight="1">
      <c r="A42" s="526" t="s">
        <v>255</v>
      </c>
      <c r="B42" s="526"/>
      <c r="D42" s="174">
        <v>1466</v>
      </c>
      <c r="F42" s="177">
        <v>1466</v>
      </c>
      <c r="H42" s="177">
        <v>1585</v>
      </c>
      <c r="I42" s="174">
        <v>1583</v>
      </c>
      <c r="J42" s="174">
        <v>1554</v>
      </c>
      <c r="K42" s="174">
        <v>1487</v>
      </c>
      <c r="M42" s="177">
        <v>1502</v>
      </c>
      <c r="N42" s="174">
        <v>1474</v>
      </c>
      <c r="O42" s="174">
        <v>1403</v>
      </c>
      <c r="P42" s="174">
        <v>1351</v>
      </c>
      <c r="R42" s="177">
        <v>1328</v>
      </c>
      <c r="S42" s="174">
        <v>1418</v>
      </c>
      <c r="T42" s="174">
        <v>1357</v>
      </c>
      <c r="U42" s="174">
        <v>1564</v>
      </c>
      <c r="W42" s="177">
        <v>1593</v>
      </c>
      <c r="X42" s="217">
        <v>1712</v>
      </c>
      <c r="Y42" s="217">
        <v>1944</v>
      </c>
      <c r="Z42" s="217">
        <v>1774</v>
      </c>
      <c r="AB42" s="177">
        <v>1855</v>
      </c>
      <c r="AC42" s="217">
        <v>1870</v>
      </c>
      <c r="AD42" s="217">
        <v>1862</v>
      </c>
      <c r="AE42" s="174">
        <v>1849</v>
      </c>
      <c r="AG42" s="217">
        <v>1838</v>
      </c>
      <c r="AH42" s="217">
        <v>1566</v>
      </c>
      <c r="AI42" s="217">
        <v>1601</v>
      </c>
      <c r="AJ42" s="217">
        <v>1242</v>
      </c>
      <c r="AK42" s="217">
        <v>884</v>
      </c>
      <c r="AL42" s="217">
        <v>1508</v>
      </c>
      <c r="AM42" s="217">
        <v>1539</v>
      </c>
      <c r="AN42" s="217">
        <v>1859</v>
      </c>
      <c r="AO42" s="217">
        <v>1751</v>
      </c>
      <c r="AP42" s="217">
        <v>1705</v>
      </c>
      <c r="AQ42" s="217">
        <v>1672</v>
      </c>
      <c r="AR42" s="217">
        <v>1923</v>
      </c>
      <c r="AS42" s="217">
        <v>1932</v>
      </c>
      <c r="AT42" s="217">
        <v>1915</v>
      </c>
      <c r="AU42" s="217">
        <v>1972</v>
      </c>
      <c r="AV42" s="217">
        <v>2084</v>
      </c>
      <c r="AW42" s="217">
        <v>2086</v>
      </c>
      <c r="AX42" s="217">
        <v>2063</v>
      </c>
      <c r="AY42" s="217">
        <v>2058</v>
      </c>
      <c r="AZ42" s="217">
        <v>2123</v>
      </c>
      <c r="BA42" s="217">
        <v>2041</v>
      </c>
      <c r="BB42" s="340">
        <v>2144</v>
      </c>
    </row>
    <row r="43" spans="1:54" ht="12" customHeight="1">
      <c r="A43" s="526" t="s">
        <v>256</v>
      </c>
      <c r="B43" s="526"/>
      <c r="D43" s="174">
        <v>1676</v>
      </c>
      <c r="F43" s="177">
        <v>714</v>
      </c>
      <c r="H43" s="177">
        <v>689</v>
      </c>
      <c r="I43" s="174">
        <v>692</v>
      </c>
      <c r="J43" s="174">
        <v>679</v>
      </c>
      <c r="K43" s="174">
        <v>563</v>
      </c>
      <c r="M43" s="177">
        <v>516</v>
      </c>
      <c r="N43" s="174">
        <v>540</v>
      </c>
      <c r="O43" s="174">
        <v>568</v>
      </c>
      <c r="P43" s="174">
        <v>347</v>
      </c>
      <c r="R43" s="177">
        <v>431</v>
      </c>
      <c r="S43" s="174">
        <v>495</v>
      </c>
      <c r="T43" s="174">
        <v>447</v>
      </c>
      <c r="U43" s="174">
        <v>498</v>
      </c>
      <c r="W43" s="177">
        <v>587</v>
      </c>
      <c r="X43" s="217">
        <v>404</v>
      </c>
      <c r="Y43" s="217">
        <v>422</v>
      </c>
      <c r="Z43" s="217">
        <v>445</v>
      </c>
      <c r="AB43" s="177">
        <v>397</v>
      </c>
      <c r="AC43" s="217">
        <v>428</v>
      </c>
      <c r="AD43" s="217">
        <v>544</v>
      </c>
      <c r="AE43" s="174">
        <v>442</v>
      </c>
      <c r="AG43" s="217">
        <v>381</v>
      </c>
      <c r="AH43" s="217">
        <v>374</v>
      </c>
      <c r="AI43" s="217">
        <v>595</v>
      </c>
      <c r="AJ43" s="217">
        <v>643</v>
      </c>
      <c r="AK43" s="217">
        <v>577</v>
      </c>
      <c r="AL43" s="217">
        <v>978</v>
      </c>
      <c r="AM43" s="217">
        <v>911</v>
      </c>
      <c r="AN43" s="217">
        <v>1151</v>
      </c>
      <c r="AO43" s="217">
        <v>1081</v>
      </c>
      <c r="AP43" s="217">
        <v>1175</v>
      </c>
      <c r="AQ43" s="217">
        <v>1281</v>
      </c>
      <c r="AR43" s="217">
        <v>646</v>
      </c>
      <c r="AS43" s="217">
        <v>630</v>
      </c>
      <c r="AT43" s="217">
        <v>844</v>
      </c>
      <c r="AU43" s="217">
        <v>901</v>
      </c>
      <c r="AV43" s="217">
        <v>1384</v>
      </c>
      <c r="AW43" s="217">
        <v>1437</v>
      </c>
      <c r="AX43" s="217">
        <v>1749</v>
      </c>
      <c r="AY43" s="217">
        <v>1838</v>
      </c>
      <c r="AZ43" s="217">
        <v>1227</v>
      </c>
      <c r="BA43" s="217">
        <v>1297</v>
      </c>
      <c r="BB43" s="340">
        <v>1931</v>
      </c>
    </row>
    <row r="44" spans="1:54" ht="12" customHeight="1">
      <c r="A44" s="526" t="s">
        <v>257</v>
      </c>
      <c r="B44" s="526"/>
      <c r="D44" s="174">
        <v>1019</v>
      </c>
      <c r="F44" s="177">
        <v>965</v>
      </c>
      <c r="H44" s="177">
        <v>919</v>
      </c>
      <c r="I44" s="174">
        <v>953</v>
      </c>
      <c r="J44" s="174">
        <v>910</v>
      </c>
      <c r="K44" s="174">
        <v>960</v>
      </c>
      <c r="M44" s="177">
        <v>906</v>
      </c>
      <c r="N44" s="174">
        <v>787</v>
      </c>
      <c r="O44" s="174">
        <v>761</v>
      </c>
      <c r="P44" s="174">
        <v>718</v>
      </c>
      <c r="R44" s="177">
        <v>617</v>
      </c>
      <c r="S44" s="174">
        <v>605</v>
      </c>
      <c r="T44" s="174">
        <v>610</v>
      </c>
      <c r="U44" s="174">
        <v>598</v>
      </c>
      <c r="W44" s="177">
        <v>603</v>
      </c>
      <c r="X44" s="217">
        <v>598</v>
      </c>
      <c r="Y44" s="217">
        <v>623</v>
      </c>
      <c r="Z44" s="217">
        <v>631</v>
      </c>
      <c r="AB44" s="177">
        <v>641</v>
      </c>
      <c r="AC44" s="217">
        <v>627</v>
      </c>
      <c r="AD44" s="217">
        <v>611</v>
      </c>
      <c r="AE44" s="174">
        <v>551</v>
      </c>
      <c r="AG44" s="217">
        <v>558</v>
      </c>
      <c r="AH44" s="217">
        <v>605</v>
      </c>
      <c r="AI44" s="217">
        <v>635</v>
      </c>
      <c r="AJ44" s="217">
        <v>617</v>
      </c>
      <c r="AK44" s="217">
        <v>632</v>
      </c>
      <c r="AL44" s="217">
        <v>629</v>
      </c>
      <c r="AM44" s="217">
        <v>704</v>
      </c>
      <c r="AN44" s="217">
        <v>543</v>
      </c>
      <c r="AO44" s="217">
        <v>506</v>
      </c>
      <c r="AP44" s="217">
        <v>476</v>
      </c>
      <c r="AQ44" s="217">
        <v>468</v>
      </c>
      <c r="AR44" s="217">
        <v>487</v>
      </c>
      <c r="AS44" s="217">
        <v>483</v>
      </c>
      <c r="AT44" s="217">
        <v>485</v>
      </c>
      <c r="AU44" s="217">
        <v>410</v>
      </c>
      <c r="AV44" s="217">
        <v>397</v>
      </c>
      <c r="AW44" s="217">
        <v>368</v>
      </c>
      <c r="AX44" s="217">
        <v>369</v>
      </c>
      <c r="AY44" s="217">
        <v>373</v>
      </c>
      <c r="AZ44" s="217">
        <v>371</v>
      </c>
      <c r="BA44" s="217">
        <v>365</v>
      </c>
      <c r="BB44" s="340">
        <v>364</v>
      </c>
    </row>
    <row r="45" spans="1:54" ht="12" customHeight="1">
      <c r="A45" s="573" t="s">
        <v>258</v>
      </c>
      <c r="B45" s="573"/>
      <c r="D45" s="174">
        <v>9292</v>
      </c>
      <c r="F45" s="177">
        <f>+F39+F40+F43+F41+F44+F42</f>
        <v>10153</v>
      </c>
      <c r="H45" s="177">
        <f>+H39+H40+H43+H41+H44+H42</f>
        <v>9792</v>
      </c>
      <c r="I45" s="174">
        <f>+I39+I40+I43+I41+I44+I42</f>
        <v>11326</v>
      </c>
      <c r="J45" s="174">
        <f>+J39+J40+J43+J41+J44+J42</f>
        <v>11749</v>
      </c>
      <c r="K45" s="174">
        <f>+K39+K40+K43+K41+K44+K42</f>
        <v>11665</v>
      </c>
      <c r="M45" s="177">
        <f t="shared" ref="M45:T45" si="1">+M39+M40+M43+M41+M44+M42</f>
        <v>10725</v>
      </c>
      <c r="N45" s="174">
        <f t="shared" si="1"/>
        <v>10483</v>
      </c>
      <c r="O45" s="174">
        <f t="shared" si="1"/>
        <v>10754</v>
      </c>
      <c r="P45" s="174">
        <f t="shared" si="1"/>
        <v>10878</v>
      </c>
      <c r="R45" s="177">
        <f t="shared" si="1"/>
        <v>10774</v>
      </c>
      <c r="S45" s="174">
        <f t="shared" si="1"/>
        <v>12522</v>
      </c>
      <c r="T45" s="174">
        <f t="shared" si="1"/>
        <v>12049</v>
      </c>
      <c r="U45" s="174">
        <f>U39+U40+U41+U42+U43+U44</f>
        <v>12147</v>
      </c>
      <c r="W45" s="177">
        <f>W39+W40+W41+W42+W43+W44</f>
        <v>12355</v>
      </c>
      <c r="X45" s="217">
        <f>X39+X40+X41+X42+X43+X44</f>
        <v>13400</v>
      </c>
      <c r="Y45" s="217">
        <f>Y39+Y40+Y41+Y42+Y43+Y44</f>
        <v>13752</v>
      </c>
      <c r="Z45" s="217">
        <v>13171</v>
      </c>
      <c r="AB45" s="177">
        <v>15471</v>
      </c>
      <c r="AC45" s="217">
        <v>14070</v>
      </c>
      <c r="AD45" s="217">
        <v>13921</v>
      </c>
      <c r="AE45" s="174">
        <v>13792</v>
      </c>
      <c r="AG45" s="217">
        <v>13184</v>
      </c>
      <c r="AH45" s="217">
        <v>12148</v>
      </c>
      <c r="AI45" s="217">
        <v>12244</v>
      </c>
      <c r="AJ45" s="217">
        <v>11351</v>
      </c>
      <c r="AK45" s="217">
        <v>10418</v>
      </c>
      <c r="AL45" s="217">
        <v>11272</v>
      </c>
      <c r="AM45" s="217">
        <v>12800</v>
      </c>
      <c r="AN45" s="217">
        <v>12113</v>
      </c>
      <c r="AO45" s="217">
        <v>12469</v>
      </c>
      <c r="AP45" s="217">
        <v>11633</v>
      </c>
      <c r="AQ45" s="217">
        <v>12064</v>
      </c>
      <c r="AR45" s="217">
        <v>11136</v>
      </c>
      <c r="AS45" s="217">
        <v>11465</v>
      </c>
      <c r="AT45" s="217">
        <f>SUM(AT39:AT44)</f>
        <v>11273</v>
      </c>
      <c r="AU45" s="217">
        <f>SUM(AU39:AU44)</f>
        <v>11358</v>
      </c>
      <c r="AV45" s="217">
        <v>11828</v>
      </c>
      <c r="AW45" s="217">
        <v>11862</v>
      </c>
      <c r="AX45" s="217">
        <v>12528</v>
      </c>
      <c r="AY45" s="217">
        <v>12775</v>
      </c>
      <c r="AZ45" s="217">
        <v>13273</v>
      </c>
      <c r="BA45" s="217">
        <v>13248</v>
      </c>
      <c r="BB45" s="340">
        <v>13201</v>
      </c>
    </row>
    <row r="46" spans="1:54" ht="12.75" customHeight="1">
      <c r="A46" s="497"/>
      <c r="B46" s="497" t="s">
        <v>259</v>
      </c>
      <c r="D46" s="174">
        <v>1813</v>
      </c>
      <c r="F46" s="177">
        <v>2145</v>
      </c>
      <c r="H46" s="177">
        <v>3006</v>
      </c>
      <c r="I46" s="174">
        <v>2295</v>
      </c>
      <c r="J46" s="174">
        <v>1460</v>
      </c>
      <c r="K46" s="174">
        <v>1559</v>
      </c>
      <c r="M46" s="177">
        <v>2087</v>
      </c>
      <c r="N46" s="174">
        <v>1641</v>
      </c>
      <c r="O46" s="174">
        <v>1435</v>
      </c>
      <c r="P46" s="174">
        <v>965</v>
      </c>
      <c r="R46" s="177">
        <v>1673</v>
      </c>
      <c r="S46" s="174">
        <v>1151</v>
      </c>
      <c r="T46" s="174">
        <v>1087</v>
      </c>
      <c r="U46" s="174">
        <v>1071</v>
      </c>
      <c r="W46" s="177">
        <v>1795</v>
      </c>
      <c r="X46" s="217">
        <v>1050</v>
      </c>
      <c r="Y46" s="217">
        <v>1346</v>
      </c>
      <c r="Z46" s="217">
        <v>348</v>
      </c>
      <c r="AB46" s="177">
        <v>404</v>
      </c>
      <c r="AC46" s="217">
        <v>1201</v>
      </c>
      <c r="AD46" s="217">
        <v>404</v>
      </c>
      <c r="AE46" s="174">
        <v>407</v>
      </c>
      <c r="AG46" s="217">
        <v>441</v>
      </c>
      <c r="AH46" s="217">
        <v>428</v>
      </c>
      <c r="AI46" s="217">
        <v>462</v>
      </c>
      <c r="AJ46" s="217">
        <v>455</v>
      </c>
      <c r="AK46" s="217">
        <v>1145</v>
      </c>
      <c r="AL46" s="217">
        <v>1250</v>
      </c>
      <c r="AM46" s="217">
        <v>1369</v>
      </c>
      <c r="AN46" s="217">
        <v>1223</v>
      </c>
      <c r="AO46" s="217">
        <v>618</v>
      </c>
      <c r="AP46" s="217">
        <v>966</v>
      </c>
      <c r="AQ46" s="217">
        <v>1041</v>
      </c>
      <c r="AR46" s="217">
        <v>964</v>
      </c>
      <c r="AS46" s="217">
        <v>1015</v>
      </c>
      <c r="AT46" s="217">
        <v>1206</v>
      </c>
      <c r="AU46" s="217">
        <v>1223</v>
      </c>
      <c r="AV46" s="217">
        <f>1259+2</f>
        <v>1261</v>
      </c>
      <c r="AW46" s="217">
        <f>1180+49</f>
        <v>1229</v>
      </c>
      <c r="AX46" s="217">
        <v>585</v>
      </c>
      <c r="AY46" s="217">
        <f>619+45</f>
        <v>664</v>
      </c>
      <c r="AZ46" s="217">
        <f>811+4</f>
        <v>815</v>
      </c>
      <c r="BA46" s="217">
        <f>1399+35</f>
        <v>1434</v>
      </c>
      <c r="BB46" s="340">
        <f>1367+3</f>
        <v>1370</v>
      </c>
    </row>
    <row r="47" spans="1:54" ht="12" customHeight="1">
      <c r="A47" s="518" t="s">
        <v>229</v>
      </c>
      <c r="B47" s="497"/>
      <c r="D47" s="174">
        <v>37</v>
      </c>
      <c r="F47" s="177">
        <v>48</v>
      </c>
      <c r="G47" s="321"/>
      <c r="H47" s="177">
        <v>34</v>
      </c>
      <c r="I47" s="174">
        <v>86</v>
      </c>
      <c r="J47" s="174">
        <v>59</v>
      </c>
      <c r="K47" s="174">
        <v>215</v>
      </c>
      <c r="L47" s="321"/>
      <c r="M47" s="177">
        <v>73</v>
      </c>
      <c r="N47" s="174">
        <v>35</v>
      </c>
      <c r="O47" s="174">
        <v>51</v>
      </c>
      <c r="P47" s="174">
        <v>110</v>
      </c>
      <c r="Q47" s="321"/>
      <c r="R47" s="177">
        <v>75</v>
      </c>
      <c r="S47" s="174">
        <v>51</v>
      </c>
      <c r="T47" s="174">
        <v>45</v>
      </c>
      <c r="U47" s="174">
        <v>43</v>
      </c>
      <c r="W47" s="177">
        <v>55</v>
      </c>
      <c r="X47" s="217">
        <v>47</v>
      </c>
      <c r="Y47" s="217">
        <v>66</v>
      </c>
      <c r="Z47" s="217">
        <v>91</v>
      </c>
      <c r="AB47" s="177">
        <v>341</v>
      </c>
      <c r="AC47" s="217">
        <v>205</v>
      </c>
      <c r="AD47" s="217">
        <v>252</v>
      </c>
      <c r="AE47" s="174">
        <v>688</v>
      </c>
      <c r="AG47" s="217">
        <v>1265</v>
      </c>
      <c r="AH47" s="217">
        <v>1163</v>
      </c>
      <c r="AI47" s="217">
        <v>787</v>
      </c>
      <c r="AJ47" s="217">
        <v>889</v>
      </c>
      <c r="AK47" s="217">
        <v>1149</v>
      </c>
      <c r="AL47" s="217">
        <v>371</v>
      </c>
      <c r="AM47" s="217">
        <v>521</v>
      </c>
      <c r="AN47" s="217">
        <v>434</v>
      </c>
      <c r="AO47" s="217">
        <v>343</v>
      </c>
      <c r="AP47" s="217">
        <v>429</v>
      </c>
      <c r="AQ47" s="217">
        <v>296</v>
      </c>
      <c r="AR47" s="217">
        <v>499</v>
      </c>
      <c r="AS47" s="217">
        <v>419</v>
      </c>
      <c r="AT47" s="217">
        <v>266</v>
      </c>
      <c r="AU47" s="217">
        <v>243</v>
      </c>
      <c r="AV47" s="217">
        <v>44</v>
      </c>
      <c r="AW47" s="217">
        <v>136</v>
      </c>
      <c r="AX47" s="217">
        <v>96</v>
      </c>
      <c r="AY47" s="217">
        <v>280</v>
      </c>
      <c r="AZ47" s="217">
        <v>1440</v>
      </c>
      <c r="BA47" s="217">
        <v>1593</v>
      </c>
      <c r="BB47" s="340">
        <v>1099</v>
      </c>
    </row>
    <row r="48" spans="1:54" ht="12" customHeight="1">
      <c r="A48" s="518" t="s">
        <v>260</v>
      </c>
      <c r="B48" s="497"/>
      <c r="D48" s="174">
        <v>1209</v>
      </c>
      <c r="F48" s="177">
        <v>1418</v>
      </c>
      <c r="H48" s="177">
        <v>1265</v>
      </c>
      <c r="I48" s="174">
        <v>1199</v>
      </c>
      <c r="J48" s="174">
        <v>1234</v>
      </c>
      <c r="K48" s="174">
        <v>1433</v>
      </c>
      <c r="M48" s="177">
        <v>1354</v>
      </c>
      <c r="N48" s="174">
        <v>1613</v>
      </c>
      <c r="O48" s="174">
        <v>1587</v>
      </c>
      <c r="P48" s="174">
        <v>1823</v>
      </c>
      <c r="R48" s="177">
        <v>1476</v>
      </c>
      <c r="S48" s="174">
        <v>1394</v>
      </c>
      <c r="T48" s="174">
        <v>1657</v>
      </c>
      <c r="U48" s="174">
        <v>2053</v>
      </c>
      <c r="W48" s="177">
        <v>1917</v>
      </c>
      <c r="X48" s="217">
        <v>1882</v>
      </c>
      <c r="Y48" s="217">
        <v>1656</v>
      </c>
      <c r="Z48" s="217">
        <v>2766</v>
      </c>
      <c r="AB48" s="177">
        <v>2879</v>
      </c>
      <c r="AC48" s="217">
        <v>2856</v>
      </c>
      <c r="AD48" s="217">
        <v>3146</v>
      </c>
      <c r="AE48" s="174">
        <v>3593</v>
      </c>
      <c r="AG48" s="217">
        <v>3379</v>
      </c>
      <c r="AH48" s="217">
        <v>3023</v>
      </c>
      <c r="AI48" s="217">
        <v>2414</v>
      </c>
      <c r="AJ48" s="217">
        <v>2974</v>
      </c>
      <c r="AK48" s="217">
        <v>2858</v>
      </c>
      <c r="AL48" s="217">
        <v>3138</v>
      </c>
      <c r="AM48" s="217">
        <v>3081</v>
      </c>
      <c r="AN48" s="217">
        <v>3094</v>
      </c>
      <c r="AO48" s="217">
        <v>2819</v>
      </c>
      <c r="AP48" s="217">
        <v>3881</v>
      </c>
      <c r="AQ48" s="217">
        <v>5033</v>
      </c>
      <c r="AR48" s="217">
        <v>6188</v>
      </c>
      <c r="AS48" s="217">
        <v>5088</v>
      </c>
      <c r="AT48" s="217">
        <v>6350</v>
      </c>
      <c r="AU48" s="217">
        <v>5490</v>
      </c>
      <c r="AV48" s="217">
        <v>5132</v>
      </c>
      <c r="AW48" s="217">
        <v>4949</v>
      </c>
      <c r="AX48" s="217">
        <v>4592</v>
      </c>
      <c r="AY48" s="217">
        <v>4643</v>
      </c>
      <c r="AZ48" s="217">
        <v>4510</v>
      </c>
      <c r="BA48" s="217">
        <v>3812</v>
      </c>
      <c r="BB48" s="340">
        <v>2807</v>
      </c>
    </row>
    <row r="49" spans="1:54" ht="12" customHeight="1">
      <c r="A49" s="518" t="s">
        <v>254</v>
      </c>
      <c r="B49" s="497"/>
      <c r="D49" s="174">
        <v>765</v>
      </c>
      <c r="F49" s="177">
        <v>760</v>
      </c>
      <c r="H49" s="177">
        <v>817</v>
      </c>
      <c r="I49" s="174">
        <v>952</v>
      </c>
      <c r="J49" s="174">
        <v>761</v>
      </c>
      <c r="K49" s="174">
        <v>787</v>
      </c>
      <c r="M49" s="177">
        <v>917</v>
      </c>
      <c r="N49" s="174">
        <v>754</v>
      </c>
      <c r="O49" s="174">
        <v>865</v>
      </c>
      <c r="P49" s="174">
        <v>842</v>
      </c>
      <c r="R49" s="177">
        <v>1110</v>
      </c>
      <c r="S49" s="174">
        <v>820</v>
      </c>
      <c r="T49" s="174">
        <v>932</v>
      </c>
      <c r="U49" s="174">
        <v>808</v>
      </c>
      <c r="W49" s="177">
        <v>891</v>
      </c>
      <c r="X49" s="217">
        <v>1036</v>
      </c>
      <c r="Y49" s="217">
        <v>1124</v>
      </c>
      <c r="Z49" s="217">
        <v>1150</v>
      </c>
      <c r="AB49" s="177">
        <v>1211</v>
      </c>
      <c r="AC49" s="217">
        <v>1178</v>
      </c>
      <c r="AD49" s="217">
        <v>1189</v>
      </c>
      <c r="AE49" s="174">
        <v>1313</v>
      </c>
      <c r="AG49" s="217">
        <v>1384</v>
      </c>
      <c r="AH49" s="217">
        <v>1397</v>
      </c>
      <c r="AI49" s="217">
        <v>1303</v>
      </c>
      <c r="AJ49" s="217">
        <v>1437</v>
      </c>
      <c r="AK49" s="217">
        <v>1536</v>
      </c>
      <c r="AL49" s="217">
        <v>1681</v>
      </c>
      <c r="AM49" s="217">
        <v>1512</v>
      </c>
      <c r="AN49" s="217">
        <v>1699</v>
      </c>
      <c r="AO49" s="217">
        <v>1819</v>
      </c>
      <c r="AP49" s="217">
        <v>2067</v>
      </c>
      <c r="AQ49" s="217">
        <v>1669</v>
      </c>
      <c r="AR49" s="217">
        <v>1709</v>
      </c>
      <c r="AS49" s="217">
        <v>1781</v>
      </c>
      <c r="AT49" s="217">
        <v>1776</v>
      </c>
      <c r="AU49" s="217">
        <v>1822</v>
      </c>
      <c r="AV49" s="217">
        <v>2019</v>
      </c>
      <c r="AW49" s="217">
        <v>2035</v>
      </c>
      <c r="AX49" s="217">
        <v>1830</v>
      </c>
      <c r="AY49" s="217">
        <v>1905</v>
      </c>
      <c r="AZ49" s="217">
        <v>2216</v>
      </c>
      <c r="BA49" s="217">
        <v>2271</v>
      </c>
      <c r="BB49" s="340">
        <v>2399</v>
      </c>
    </row>
    <row r="50" spans="1:54" ht="12" customHeight="1">
      <c r="A50" s="518" t="s">
        <v>261</v>
      </c>
      <c r="B50" s="497"/>
      <c r="D50" s="174">
        <v>751</v>
      </c>
      <c r="F50" s="177">
        <v>762</v>
      </c>
      <c r="H50" s="177">
        <v>626</v>
      </c>
      <c r="I50" s="174">
        <v>837</v>
      </c>
      <c r="J50" s="174">
        <v>719</v>
      </c>
      <c r="K50" s="174">
        <v>786</v>
      </c>
      <c r="M50" s="177">
        <v>595</v>
      </c>
      <c r="N50" s="174">
        <v>605</v>
      </c>
      <c r="O50" s="174">
        <v>457</v>
      </c>
      <c r="P50" s="174">
        <v>630</v>
      </c>
      <c r="R50" s="177">
        <v>623</v>
      </c>
      <c r="S50" s="174">
        <v>738</v>
      </c>
      <c r="T50" s="174">
        <v>505</v>
      </c>
      <c r="U50" s="174">
        <v>585</v>
      </c>
      <c r="W50" s="177">
        <v>678</v>
      </c>
      <c r="X50" s="217">
        <v>453</v>
      </c>
      <c r="Y50" s="217">
        <v>530</v>
      </c>
      <c r="Z50" s="217">
        <v>433</v>
      </c>
      <c r="AB50" s="177">
        <v>422</v>
      </c>
      <c r="AC50" s="217">
        <v>411</v>
      </c>
      <c r="AD50" s="217">
        <v>545</v>
      </c>
      <c r="AE50" s="174">
        <v>537</v>
      </c>
      <c r="AG50" s="217">
        <v>1086</v>
      </c>
      <c r="AH50" s="217">
        <v>1135</v>
      </c>
      <c r="AI50" s="217">
        <v>1285</v>
      </c>
      <c r="AJ50" s="217">
        <v>1453</v>
      </c>
      <c r="AK50" s="217">
        <f>1906-2</f>
        <v>1904</v>
      </c>
      <c r="AL50" s="217">
        <v>1212</v>
      </c>
      <c r="AM50" s="217">
        <v>1287</v>
      </c>
      <c r="AN50" s="217">
        <v>1233</v>
      </c>
      <c r="AO50" s="217">
        <v>1366</v>
      </c>
      <c r="AP50" s="217">
        <v>707</v>
      </c>
      <c r="AQ50" s="217">
        <v>649</v>
      </c>
      <c r="AR50" s="217">
        <v>611</v>
      </c>
      <c r="AS50" s="217">
        <v>598</v>
      </c>
      <c r="AT50" s="217">
        <v>1095</v>
      </c>
      <c r="AU50" s="217">
        <v>770</v>
      </c>
      <c r="AV50" s="217">
        <v>1049</v>
      </c>
      <c r="AW50" s="217">
        <v>970</v>
      </c>
      <c r="AX50" s="217">
        <v>893</v>
      </c>
      <c r="AY50" s="217">
        <v>1156</v>
      </c>
      <c r="AZ50" s="217">
        <v>1746</v>
      </c>
      <c r="BA50" s="217">
        <v>2374</v>
      </c>
      <c r="BB50" s="340">
        <v>3207</v>
      </c>
    </row>
    <row r="51" spans="1:54" ht="12" customHeight="1">
      <c r="A51" s="518" t="s">
        <v>257</v>
      </c>
      <c r="B51" s="497"/>
      <c r="D51" s="174">
        <v>977</v>
      </c>
      <c r="F51" s="177">
        <v>1064</v>
      </c>
      <c r="H51" s="177">
        <v>1019</v>
      </c>
      <c r="I51" s="174">
        <v>1240</v>
      </c>
      <c r="J51" s="174">
        <v>1165</v>
      </c>
      <c r="K51" s="174">
        <v>1086</v>
      </c>
      <c r="M51" s="177">
        <v>1107</v>
      </c>
      <c r="N51" s="174">
        <v>1271</v>
      </c>
      <c r="O51" s="174">
        <v>1307</v>
      </c>
      <c r="P51" s="174">
        <v>1089</v>
      </c>
      <c r="R51" s="177">
        <v>972</v>
      </c>
      <c r="S51" s="174">
        <f>1038+283</f>
        <v>1321</v>
      </c>
      <c r="T51" s="174">
        <f>1042+287</f>
        <v>1329</v>
      </c>
      <c r="U51" s="174">
        <f>271+1034</f>
        <v>1305</v>
      </c>
      <c r="W51" s="177">
        <f>1121+265</f>
        <v>1386</v>
      </c>
      <c r="X51" s="217">
        <f>162+1051</f>
        <v>1213</v>
      </c>
      <c r="Y51" s="217">
        <f>1167+148</f>
        <v>1315</v>
      </c>
      <c r="Z51" s="217">
        <f>1026+222</f>
        <v>1248</v>
      </c>
      <c r="AB51" s="177">
        <f>203+1202</f>
        <v>1405</v>
      </c>
      <c r="AC51" s="217">
        <f>193+1066</f>
        <v>1259</v>
      </c>
      <c r="AD51" s="217">
        <v>1226</v>
      </c>
      <c r="AE51" s="174">
        <v>1364</v>
      </c>
      <c r="AG51" s="217">
        <v>1582</v>
      </c>
      <c r="AH51" s="217">
        <f>179+1304</f>
        <v>1483</v>
      </c>
      <c r="AI51" s="217">
        <v>1634</v>
      </c>
      <c r="AJ51" s="217">
        <f>1661+207</f>
        <v>1868</v>
      </c>
      <c r="AK51" s="217">
        <v>1984</v>
      </c>
      <c r="AL51" s="217">
        <v>2538</v>
      </c>
      <c r="AM51" s="217">
        <f>251+1754</f>
        <v>2005</v>
      </c>
      <c r="AN51" s="217">
        <f>1329+173</f>
        <v>1502</v>
      </c>
      <c r="AO51" s="217">
        <v>1729</v>
      </c>
      <c r="AP51" s="217">
        <f>1555+172</f>
        <v>1727</v>
      </c>
      <c r="AQ51" s="217">
        <v>1637</v>
      </c>
      <c r="AR51" s="217">
        <v>1646</v>
      </c>
      <c r="AS51" s="217">
        <v>1803</v>
      </c>
      <c r="AT51" s="217">
        <f>247+1643</f>
        <v>1890</v>
      </c>
      <c r="AU51" s="217">
        <f>259+1060</f>
        <v>1319</v>
      </c>
      <c r="AV51" s="217">
        <f>280+1061</f>
        <v>1341</v>
      </c>
      <c r="AW51" s="217">
        <f>261+1285</f>
        <v>1546</v>
      </c>
      <c r="AX51" s="217">
        <f>215+1551</f>
        <v>1766</v>
      </c>
      <c r="AY51" s="217">
        <f>194+1112</f>
        <v>1306</v>
      </c>
      <c r="AZ51" s="217">
        <f>137+1205</f>
        <v>1342</v>
      </c>
      <c r="BA51" s="217">
        <f>139+1573</f>
        <v>1712</v>
      </c>
      <c r="BB51" s="340">
        <f>154+1811</f>
        <v>1965</v>
      </c>
    </row>
    <row r="52" spans="1:54" ht="12.75" customHeight="1">
      <c r="A52" s="518" t="s">
        <v>262</v>
      </c>
      <c r="B52" s="528"/>
      <c r="D52" s="174">
        <v>0</v>
      </c>
      <c r="F52" s="177">
        <v>0</v>
      </c>
      <c r="H52" s="177">
        <v>0</v>
      </c>
      <c r="I52" s="174">
        <v>0</v>
      </c>
      <c r="J52" s="174">
        <v>0</v>
      </c>
      <c r="K52" s="174">
        <v>0</v>
      </c>
      <c r="M52" s="177">
        <v>0</v>
      </c>
      <c r="N52" s="174">
        <v>0</v>
      </c>
      <c r="O52" s="174">
        <v>0</v>
      </c>
      <c r="P52" s="174">
        <v>0</v>
      </c>
      <c r="R52" s="177">
        <v>0</v>
      </c>
      <c r="S52" s="174">
        <v>0</v>
      </c>
      <c r="T52" s="174">
        <v>0</v>
      </c>
      <c r="U52" s="174">
        <v>0</v>
      </c>
      <c r="W52" s="177">
        <v>0</v>
      </c>
      <c r="X52" s="217">
        <v>0</v>
      </c>
      <c r="Y52" s="217">
        <v>0</v>
      </c>
      <c r="Z52" s="217">
        <v>0</v>
      </c>
      <c r="AB52" s="177">
        <v>0</v>
      </c>
      <c r="AC52" s="217">
        <v>0</v>
      </c>
      <c r="AD52" s="217">
        <v>4</v>
      </c>
      <c r="AE52" s="174">
        <v>5</v>
      </c>
      <c r="AG52" s="217">
        <v>0</v>
      </c>
      <c r="AH52" s="217">
        <v>411</v>
      </c>
      <c r="AI52" s="217">
        <v>424</v>
      </c>
      <c r="AJ52" s="217">
        <v>462</v>
      </c>
      <c r="AK52" s="217">
        <v>386</v>
      </c>
      <c r="AL52" s="217">
        <v>0</v>
      </c>
      <c r="AM52" s="217">
        <v>0</v>
      </c>
      <c r="AN52" s="217">
        <v>0</v>
      </c>
      <c r="AO52" s="217">
        <v>0</v>
      </c>
      <c r="AP52" s="217">
        <v>0</v>
      </c>
      <c r="AQ52" s="217">
        <v>0</v>
      </c>
      <c r="AR52" s="217">
        <v>0</v>
      </c>
      <c r="AS52" s="217">
        <v>0</v>
      </c>
      <c r="AT52" s="217">
        <v>0</v>
      </c>
      <c r="AU52" s="217">
        <v>178</v>
      </c>
      <c r="AV52" s="217">
        <v>160</v>
      </c>
      <c r="AW52" s="217">
        <v>0</v>
      </c>
      <c r="AX52" s="217">
        <v>0</v>
      </c>
      <c r="AY52" s="217">
        <v>0</v>
      </c>
      <c r="AZ52" s="217">
        <v>0</v>
      </c>
      <c r="BA52" s="217">
        <v>0</v>
      </c>
      <c r="BB52" s="340">
        <v>0</v>
      </c>
    </row>
    <row r="53" spans="1:54" ht="12" customHeight="1">
      <c r="A53" s="573" t="s">
        <v>263</v>
      </c>
      <c r="B53" s="573"/>
      <c r="D53" s="174">
        <v>5552</v>
      </c>
      <c r="F53" s="177">
        <f>F46+F47+F48+F49+F50+F51</f>
        <v>6197</v>
      </c>
      <c r="H53" s="177">
        <f>H46+H47+H48+H49+H50+H51</f>
        <v>6767</v>
      </c>
      <c r="I53" s="174">
        <f>I46+I47+I48+I49+I50+I51</f>
        <v>6609</v>
      </c>
      <c r="J53" s="174">
        <f>J46+J47+J48+J49+J50+J51</f>
        <v>5398</v>
      </c>
      <c r="K53" s="174">
        <f>K46+K47+K48+K49+K50+K51</f>
        <v>5866</v>
      </c>
      <c r="M53" s="177">
        <f t="shared" ref="M53:T53" si="2">M46+M47+M48+M49+M50+M51</f>
        <v>6133</v>
      </c>
      <c r="N53" s="174">
        <f t="shared" si="2"/>
        <v>5919</v>
      </c>
      <c r="O53" s="174">
        <f t="shared" si="2"/>
        <v>5702</v>
      </c>
      <c r="P53" s="174">
        <f t="shared" si="2"/>
        <v>5459</v>
      </c>
      <c r="R53" s="177">
        <f t="shared" si="2"/>
        <v>5929</v>
      </c>
      <c r="S53" s="174">
        <f t="shared" si="2"/>
        <v>5475</v>
      </c>
      <c r="T53" s="174">
        <f t="shared" si="2"/>
        <v>5555</v>
      </c>
      <c r="U53" s="174">
        <f>U46+U47+U48+U49+U50+U51</f>
        <v>5865</v>
      </c>
      <c r="W53" s="177">
        <f>W46+W47+W48+W49+W50+W51</f>
        <v>6722</v>
      </c>
      <c r="X53" s="217">
        <f>X46+X47+X48+X49+X50+X51</f>
        <v>5681</v>
      </c>
      <c r="Y53" s="217">
        <f>Y46+Y47+Y48+Y49+Y50+Y51</f>
        <v>6037</v>
      </c>
      <c r="Z53" s="217">
        <v>6036</v>
      </c>
      <c r="AB53" s="177">
        <v>6662</v>
      </c>
      <c r="AC53" s="217">
        <v>7110</v>
      </c>
      <c r="AD53" s="217">
        <v>6766</v>
      </c>
      <c r="AE53" s="174">
        <v>7907</v>
      </c>
      <c r="AG53" s="217">
        <v>9137</v>
      </c>
      <c r="AH53" s="217">
        <v>9040</v>
      </c>
      <c r="AI53" s="217">
        <v>8309</v>
      </c>
      <c r="AJ53" s="217">
        <v>9538</v>
      </c>
      <c r="AK53" s="217">
        <v>10962</v>
      </c>
      <c r="AL53" s="217">
        <v>10190</v>
      </c>
      <c r="AM53" s="217">
        <v>9775</v>
      </c>
      <c r="AN53" s="217">
        <v>9185</v>
      </c>
      <c r="AO53" s="217">
        <v>8694</v>
      </c>
      <c r="AP53" s="217">
        <v>9777</v>
      </c>
      <c r="AQ53" s="217">
        <v>10325</v>
      </c>
      <c r="AR53" s="217">
        <v>11617</v>
      </c>
      <c r="AS53" s="217">
        <v>10704</v>
      </c>
      <c r="AT53" s="217">
        <f>SUM(AT46:AT52)</f>
        <v>12583</v>
      </c>
      <c r="AU53" s="217">
        <v>11045</v>
      </c>
      <c r="AV53" s="217">
        <v>11006</v>
      </c>
      <c r="AW53" s="217">
        <v>10865</v>
      </c>
      <c r="AX53" s="217">
        <v>9762</v>
      </c>
      <c r="AY53" s="217">
        <v>9954</v>
      </c>
      <c r="AZ53" s="217">
        <v>12069</v>
      </c>
      <c r="BA53" s="217">
        <v>13196</v>
      </c>
      <c r="BB53" s="340">
        <v>12847</v>
      </c>
    </row>
    <row r="54" spans="1:54" ht="12" customHeight="1">
      <c r="A54" s="576" t="s">
        <v>264</v>
      </c>
      <c r="B54" s="576"/>
      <c r="C54" s="372"/>
      <c r="D54" s="173">
        <v>14844</v>
      </c>
      <c r="F54" s="175">
        <f>F53+F45</f>
        <v>16350</v>
      </c>
      <c r="H54" s="175">
        <f>H53+H45</f>
        <v>16559</v>
      </c>
      <c r="I54" s="173">
        <f>I53+I45</f>
        <v>17935</v>
      </c>
      <c r="J54" s="173">
        <f>J53+J45</f>
        <v>17147</v>
      </c>
      <c r="K54" s="173">
        <f>K53+K45</f>
        <v>17531</v>
      </c>
      <c r="M54" s="175">
        <f t="shared" ref="M54:T54" si="3">M53+M45</f>
        <v>16858</v>
      </c>
      <c r="N54" s="173">
        <f t="shared" si="3"/>
        <v>16402</v>
      </c>
      <c r="O54" s="173">
        <f t="shared" si="3"/>
        <v>16456</v>
      </c>
      <c r="P54" s="173">
        <f t="shared" si="3"/>
        <v>16337</v>
      </c>
      <c r="R54" s="175">
        <f t="shared" si="3"/>
        <v>16703</v>
      </c>
      <c r="S54" s="173">
        <f t="shared" si="3"/>
        <v>17997</v>
      </c>
      <c r="T54" s="173">
        <f t="shared" si="3"/>
        <v>17604</v>
      </c>
      <c r="U54" s="173">
        <f>U53+U45</f>
        <v>18012</v>
      </c>
      <c r="W54" s="175">
        <f>W53+W45</f>
        <v>19077</v>
      </c>
      <c r="X54" s="173">
        <f>X53+X45</f>
        <v>19081</v>
      </c>
      <c r="Y54" s="173">
        <f>Y53+Y45</f>
        <v>19789</v>
      </c>
      <c r="Z54" s="173">
        <v>19207</v>
      </c>
      <c r="AB54" s="175">
        <v>22133</v>
      </c>
      <c r="AC54" s="173">
        <v>21180</v>
      </c>
      <c r="AD54" s="173">
        <v>20687</v>
      </c>
      <c r="AE54" s="173">
        <v>21699</v>
      </c>
      <c r="AG54" s="173">
        <v>22321</v>
      </c>
      <c r="AH54" s="173">
        <v>21188</v>
      </c>
      <c r="AI54" s="173">
        <v>20553</v>
      </c>
      <c r="AJ54" s="173">
        <v>20889</v>
      </c>
      <c r="AK54" s="173">
        <v>21380</v>
      </c>
      <c r="AL54" s="173">
        <v>21462</v>
      </c>
      <c r="AM54" s="173">
        <v>22575</v>
      </c>
      <c r="AN54" s="173">
        <v>21298</v>
      </c>
      <c r="AO54" s="173">
        <v>21163</v>
      </c>
      <c r="AP54" s="173">
        <v>21410</v>
      </c>
      <c r="AQ54" s="173">
        <v>22389</v>
      </c>
      <c r="AR54" s="173">
        <v>22753</v>
      </c>
      <c r="AS54" s="173">
        <v>22169</v>
      </c>
      <c r="AT54" s="173">
        <f>AT45+AT53</f>
        <v>23856</v>
      </c>
      <c r="AU54" s="173">
        <f>AU45+AU53</f>
        <v>22403</v>
      </c>
      <c r="AV54" s="173">
        <v>22834</v>
      </c>
      <c r="AW54" s="173">
        <v>22727</v>
      </c>
      <c r="AX54" s="173">
        <v>22290</v>
      </c>
      <c r="AY54" s="173">
        <v>22729</v>
      </c>
      <c r="AZ54" s="173">
        <v>25342</v>
      </c>
      <c r="BA54" s="173">
        <v>26444</v>
      </c>
      <c r="BB54" s="339">
        <v>26048</v>
      </c>
    </row>
    <row r="55" spans="1:54" ht="12" customHeight="1">
      <c r="A55" s="576" t="s">
        <v>265</v>
      </c>
      <c r="B55" s="576"/>
      <c r="C55" s="372"/>
      <c r="D55" s="173">
        <v>40374</v>
      </c>
      <c r="F55" s="175">
        <f>F54+F38</f>
        <v>36764</v>
      </c>
      <c r="H55" s="175">
        <f>H54+H38</f>
        <v>37098</v>
      </c>
      <c r="I55" s="173">
        <f>I54+I38</f>
        <v>38411</v>
      </c>
      <c r="J55" s="173">
        <f>J54+J38</f>
        <v>37891</v>
      </c>
      <c r="K55" s="173">
        <f>K54+K38</f>
        <v>33442</v>
      </c>
      <c r="M55" s="175">
        <f t="shared" ref="M55:T55" si="4">M54+M38</f>
        <v>33629</v>
      </c>
      <c r="N55" s="173">
        <f t="shared" si="4"/>
        <v>33501</v>
      </c>
      <c r="O55" s="173">
        <f t="shared" si="4"/>
        <v>34306</v>
      </c>
      <c r="P55" s="173">
        <f t="shared" si="4"/>
        <v>34122</v>
      </c>
      <c r="R55" s="175">
        <f t="shared" si="4"/>
        <v>34904</v>
      </c>
      <c r="S55" s="173">
        <f t="shared" si="4"/>
        <v>36071</v>
      </c>
      <c r="T55" s="173">
        <f t="shared" si="4"/>
        <v>36221</v>
      </c>
      <c r="U55" s="173">
        <f>U54+U38</f>
        <v>37237</v>
      </c>
      <c r="W55" s="175">
        <f>W54+W38</f>
        <v>38518</v>
      </c>
      <c r="X55" s="191">
        <f>X54+X38</f>
        <v>39045</v>
      </c>
      <c r="Y55" s="191">
        <f>Y54+Y38</f>
        <v>40099</v>
      </c>
      <c r="Z55" s="191">
        <v>39409</v>
      </c>
      <c r="AB55" s="175">
        <v>42596</v>
      </c>
      <c r="AC55" s="191">
        <v>41584</v>
      </c>
      <c r="AD55" s="191">
        <v>41716</v>
      </c>
      <c r="AE55" s="173">
        <v>42780</v>
      </c>
      <c r="AG55" s="191">
        <v>43812</v>
      </c>
      <c r="AH55" s="191">
        <v>45055</v>
      </c>
      <c r="AI55" s="191">
        <v>46146</v>
      </c>
      <c r="AJ55" s="191">
        <v>48027</v>
      </c>
      <c r="AK55" s="191">
        <v>50041</v>
      </c>
      <c r="AL55" s="191">
        <v>53106</v>
      </c>
      <c r="AM55" s="191">
        <v>54839</v>
      </c>
      <c r="AN55" s="191">
        <v>53444</v>
      </c>
      <c r="AO55" s="191">
        <v>53335</v>
      </c>
      <c r="AP55" s="191">
        <v>54201</v>
      </c>
      <c r="AQ55" s="191">
        <v>55497</v>
      </c>
      <c r="AR55" s="191">
        <v>51383</v>
      </c>
      <c r="AS55" s="191">
        <v>51069</v>
      </c>
      <c r="AT55" s="191">
        <f>AT54+AT38</f>
        <v>53239</v>
      </c>
      <c r="AU55" s="191">
        <f>AU54+AU38</f>
        <v>51797</v>
      </c>
      <c r="AV55" s="191">
        <v>53892</v>
      </c>
      <c r="AW55" s="191">
        <v>54138</v>
      </c>
      <c r="AX55" s="191">
        <v>54405</v>
      </c>
      <c r="AY55" s="191">
        <v>55109</v>
      </c>
      <c r="AZ55" s="191">
        <v>58240</v>
      </c>
      <c r="BA55" s="191">
        <v>63455</v>
      </c>
      <c r="BB55" s="339">
        <v>65862</v>
      </c>
    </row>
    <row r="56" spans="1:54" ht="12" customHeight="1">
      <c r="D56" s="322"/>
      <c r="F56" s="322"/>
      <c r="H56" s="322"/>
      <c r="I56" s="322"/>
      <c r="J56" s="322"/>
      <c r="K56" s="322"/>
    </row>
  </sheetData>
  <mergeCells count="26">
    <mergeCell ref="A55:B55"/>
    <mergeCell ref="A28:B28"/>
    <mergeCell ref="A29:B29"/>
    <mergeCell ref="A31:B31"/>
    <mergeCell ref="A36:B36"/>
    <mergeCell ref="A37:B37"/>
    <mergeCell ref="A38:B38"/>
    <mergeCell ref="A45:B45"/>
    <mergeCell ref="A27:B27"/>
    <mergeCell ref="A24:B24"/>
    <mergeCell ref="A53:B53"/>
    <mergeCell ref="A54:B54"/>
    <mergeCell ref="A21:B21"/>
    <mergeCell ref="A22:B22"/>
    <mergeCell ref="A23:B23"/>
    <mergeCell ref="A25:B25"/>
    <mergeCell ref="A26:B26"/>
    <mergeCell ref="A1:B1"/>
    <mergeCell ref="A20:B20"/>
    <mergeCell ref="A2:B2"/>
    <mergeCell ref="A6:B6"/>
    <mergeCell ref="A9:B9"/>
    <mergeCell ref="A12:B12"/>
    <mergeCell ref="A16:B16"/>
    <mergeCell ref="A19:B19"/>
    <mergeCell ref="A3:B3"/>
  </mergeCells>
  <pageMargins left="0.70866141732283472" right="0.70866141732283472" top="0.74803149606299213" bottom="0.74803149606299213" header="0.31496062992125984" footer="0.31496062992125984"/>
  <pageSetup paperSize="8" scale="44" orientation="landscape" r:id="rId1"/>
  <ignoredErrors>
    <ignoredError sqref="P6 P28"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B927-C6F2-42C6-9BE3-42BFD107EBEF}">
  <sheetPr>
    <pageSetUpPr fitToPage="1"/>
  </sheetPr>
  <dimension ref="A1:BU63"/>
  <sheetViews>
    <sheetView showGridLines="0" zoomScale="148" zoomScaleNormal="148" zoomScaleSheetLayoutView="100" workbookViewId="0">
      <pane xSplit="1" topLeftCell="BJ1" activePane="topRight" state="frozen"/>
      <selection pane="topRight" activeCell="BT16" sqref="BT16"/>
    </sheetView>
  </sheetViews>
  <sheetFormatPr defaultColWidth="8.5703125" defaultRowHeight="11.25"/>
  <cols>
    <col min="1" max="1" width="62.85546875" style="267" customWidth="1"/>
    <col min="2" max="2" width="1.5703125" style="267" hidden="1" customWidth="1"/>
    <col min="3" max="6" width="7" style="267" customWidth="1"/>
    <col min="7" max="7" width="8.5703125" style="267" customWidth="1"/>
    <col min="8" max="8" width="1.5703125" style="267" customWidth="1"/>
    <col min="9" max="13" width="8.140625" style="267" customWidth="1"/>
    <col min="14" max="14" width="1.140625" style="267" customWidth="1"/>
    <col min="15" max="18" width="6.85546875" style="267" customWidth="1"/>
    <col min="19" max="19" width="8.42578125" style="267" customWidth="1"/>
    <col min="20" max="20" width="1" style="267" customWidth="1"/>
    <col min="21" max="25" width="7.5703125" style="267" customWidth="1"/>
    <col min="26" max="26" width="0.140625" style="267" customWidth="1"/>
    <col min="27" max="27" width="7.42578125" style="267" customWidth="1"/>
    <col min="28" max="28" width="7.5703125" style="267" customWidth="1"/>
    <col min="29" max="29" width="6.85546875" style="267" customWidth="1"/>
    <col min="30" max="30" width="7.140625" style="267" customWidth="1"/>
    <col min="31" max="31" width="8.42578125" style="267" customWidth="1"/>
    <col min="32" max="32" width="0.5703125" style="267" customWidth="1"/>
    <col min="33" max="33" width="7.5703125" style="267" customWidth="1"/>
    <col min="34" max="36" width="7.42578125" style="267" customWidth="1"/>
    <col min="37" max="37" width="7.85546875" style="373" customWidth="1"/>
    <col min="38" max="38" width="0.5703125" style="267" customWidth="1"/>
    <col min="39" max="39" width="6.85546875" style="373" customWidth="1"/>
    <col min="40" max="40" width="6.85546875" style="374" customWidth="1"/>
    <col min="41" max="41" width="7.5703125" style="267" customWidth="1"/>
    <col min="42" max="42" width="8.85546875" style="267" customWidth="1"/>
    <col min="43" max="43" width="7.42578125" style="267" customWidth="1"/>
    <col min="44" max="44" width="1.140625" style="267" customWidth="1"/>
    <col min="45" max="45" width="8.140625" style="267" customWidth="1"/>
    <col min="46" max="71" width="8.140625" style="51" customWidth="1"/>
    <col min="72" max="16384" width="8.5703125" style="267"/>
  </cols>
  <sheetData>
    <row r="1" spans="1:73" ht="36" customHeight="1">
      <c r="A1" s="55" t="s">
        <v>46</v>
      </c>
      <c r="B1" s="5"/>
    </row>
    <row r="2" spans="1:73" s="247" customFormat="1" ht="18" customHeight="1">
      <c r="C2" s="246"/>
      <c r="D2" s="246"/>
      <c r="E2" s="246"/>
      <c r="F2" s="246"/>
      <c r="G2" s="246"/>
      <c r="H2" s="246"/>
      <c r="I2" s="246"/>
      <c r="J2" s="246"/>
      <c r="K2" s="246"/>
      <c r="L2" s="246"/>
      <c r="AK2" s="375"/>
      <c r="AM2" s="375"/>
      <c r="AN2" s="376"/>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row>
    <row r="3" spans="1:73" s="250" customFormat="1" ht="12" customHeight="1">
      <c r="A3" s="246" t="s">
        <v>92</v>
      </c>
      <c r="B3" s="246"/>
      <c r="C3" s="377" t="s">
        <v>0</v>
      </c>
      <c r="D3" s="377" t="s">
        <v>1</v>
      </c>
      <c r="E3" s="377" t="s">
        <v>2</v>
      </c>
      <c r="F3" s="377" t="s">
        <v>3</v>
      </c>
      <c r="G3" s="377">
        <v>2014</v>
      </c>
      <c r="H3" s="378"/>
      <c r="I3" s="377" t="s">
        <v>4</v>
      </c>
      <c r="J3" s="377" t="s">
        <v>5</v>
      </c>
      <c r="K3" s="377" t="s">
        <v>6</v>
      </c>
      <c r="L3" s="377" t="s">
        <v>7</v>
      </c>
      <c r="M3" s="377">
        <v>2015</v>
      </c>
      <c r="N3" s="379"/>
      <c r="O3" s="377" t="s">
        <v>8</v>
      </c>
      <c r="P3" s="377" t="s">
        <v>9</v>
      </c>
      <c r="Q3" s="377" t="s">
        <v>10</v>
      </c>
      <c r="R3" s="377" t="s">
        <v>11</v>
      </c>
      <c r="S3" s="377">
        <v>2016</v>
      </c>
      <c r="T3" s="320"/>
      <c r="U3" s="377" t="s">
        <v>16</v>
      </c>
      <c r="V3" s="377" t="s">
        <v>17</v>
      </c>
      <c r="W3" s="377" t="s">
        <v>20</v>
      </c>
      <c r="X3" s="377" t="s">
        <v>21</v>
      </c>
      <c r="Y3" s="377">
        <v>2017</v>
      </c>
      <c r="Z3" s="379"/>
      <c r="AA3" s="377" t="s">
        <v>27</v>
      </c>
      <c r="AB3" s="377" t="s">
        <v>29</v>
      </c>
      <c r="AC3" s="377" t="s">
        <v>30</v>
      </c>
      <c r="AD3" s="377" t="s">
        <v>33</v>
      </c>
      <c r="AE3" s="377">
        <v>2018</v>
      </c>
      <c r="AF3" s="320"/>
      <c r="AG3" s="377" t="s">
        <v>35</v>
      </c>
      <c r="AH3" s="377" t="s">
        <v>36</v>
      </c>
      <c r="AI3" s="377" t="s">
        <v>39</v>
      </c>
      <c r="AJ3" s="377" t="s">
        <v>40</v>
      </c>
      <c r="AK3" s="447">
        <v>2019</v>
      </c>
      <c r="AL3" s="320"/>
      <c r="AM3" s="380" t="s">
        <v>41</v>
      </c>
      <c r="AN3" s="205" t="s">
        <v>42</v>
      </c>
      <c r="AO3" s="205" t="s">
        <v>43</v>
      </c>
      <c r="AP3" s="205" t="s">
        <v>44</v>
      </c>
      <c r="AQ3" s="447">
        <v>2020</v>
      </c>
      <c r="AR3" s="381"/>
      <c r="AS3" s="205" t="s">
        <v>47</v>
      </c>
      <c r="AT3" s="205" t="s">
        <v>48</v>
      </c>
      <c r="AU3" s="205" t="s">
        <v>49</v>
      </c>
      <c r="AV3" s="205" t="s">
        <v>50</v>
      </c>
      <c r="AW3" s="447">
        <v>2021</v>
      </c>
      <c r="AX3" s="205" t="s">
        <v>51</v>
      </c>
      <c r="AY3" s="205" t="s">
        <v>52</v>
      </c>
      <c r="AZ3" s="205" t="s">
        <v>53</v>
      </c>
      <c r="BA3" s="205" t="s">
        <v>54</v>
      </c>
      <c r="BB3" s="447">
        <v>2022</v>
      </c>
      <c r="BC3" s="205" t="s">
        <v>55</v>
      </c>
      <c r="BD3" s="205" t="s">
        <v>56</v>
      </c>
      <c r="BE3" s="205" t="s">
        <v>57</v>
      </c>
      <c r="BF3" s="205" t="s">
        <v>61</v>
      </c>
      <c r="BG3" s="447">
        <v>2023</v>
      </c>
      <c r="BH3" s="205" t="s">
        <v>64</v>
      </c>
      <c r="BI3" s="205" t="s">
        <v>68</v>
      </c>
      <c r="BJ3" s="205" t="s">
        <v>70</v>
      </c>
      <c r="BK3" s="205" t="s">
        <v>72</v>
      </c>
      <c r="BL3" s="447">
        <v>2024</v>
      </c>
      <c r="BM3" s="447" t="s">
        <v>76</v>
      </c>
      <c r="BN3" s="447" t="s">
        <v>79</v>
      </c>
      <c r="BO3" s="447" t="s">
        <v>81</v>
      </c>
      <c r="BP3" s="447" t="s">
        <v>83</v>
      </c>
      <c r="BQ3" s="447">
        <v>2025</v>
      </c>
      <c r="BR3" s="447" t="s">
        <v>86</v>
      </c>
      <c r="BS3" s="205" t="s">
        <v>88</v>
      </c>
    </row>
    <row r="4" spans="1:73" s="250" customFormat="1" ht="12" customHeight="1">
      <c r="A4" s="485" t="s">
        <v>93</v>
      </c>
      <c r="B4" s="255"/>
      <c r="C4" s="20">
        <v>7041</v>
      </c>
      <c r="D4" s="21">
        <v>6787</v>
      </c>
      <c r="E4" s="21">
        <v>6994</v>
      </c>
      <c r="F4" s="21">
        <v>6624</v>
      </c>
      <c r="G4" s="21">
        <v>6862</v>
      </c>
      <c r="H4" s="382"/>
      <c r="I4" s="20">
        <v>5818</v>
      </c>
      <c r="J4" s="21">
        <v>6043</v>
      </c>
      <c r="K4" s="21">
        <v>5259</v>
      </c>
      <c r="L4" s="21">
        <v>4892</v>
      </c>
      <c r="M4" s="21">
        <v>5495</v>
      </c>
      <c r="N4" s="382"/>
      <c r="O4" s="20">
        <v>4672</v>
      </c>
      <c r="P4" s="21">
        <v>4729</v>
      </c>
      <c r="Q4" s="21">
        <v>4772</v>
      </c>
      <c r="R4" s="21">
        <v>5277</v>
      </c>
      <c r="S4" s="383">
        <v>4863</v>
      </c>
      <c r="T4" s="315"/>
      <c r="U4" s="20">
        <v>5831</v>
      </c>
      <c r="V4" s="21">
        <v>5662</v>
      </c>
      <c r="W4" s="21">
        <v>6348.7109375</v>
      </c>
      <c r="X4" s="21">
        <v>6808</v>
      </c>
      <c r="Y4" s="383">
        <v>6166</v>
      </c>
      <c r="Z4" s="384"/>
      <c r="AA4" s="385">
        <v>6960.53</v>
      </c>
      <c r="AB4" s="383">
        <v>6872.23</v>
      </c>
      <c r="AC4" s="383">
        <v>6105</v>
      </c>
      <c r="AD4" s="383">
        <v>6171.9</v>
      </c>
      <c r="AE4" s="383">
        <v>6523.04</v>
      </c>
      <c r="AG4" s="385">
        <v>6214.92</v>
      </c>
      <c r="AH4" s="40">
        <v>6113</v>
      </c>
      <c r="AI4" s="40">
        <v>5802</v>
      </c>
      <c r="AJ4" s="217">
        <v>5881</v>
      </c>
      <c r="AK4" s="40">
        <v>6000</v>
      </c>
      <c r="AM4" s="385">
        <v>5637</v>
      </c>
      <c r="AN4" s="35">
        <v>5356</v>
      </c>
      <c r="AO4" s="35">
        <v>6519</v>
      </c>
      <c r="AP4" s="386">
        <v>7166</v>
      </c>
      <c r="AQ4" s="386">
        <v>6181</v>
      </c>
      <c r="AR4" s="387"/>
      <c r="AS4" s="232">
        <v>8504</v>
      </c>
      <c r="AT4" s="232">
        <v>9700</v>
      </c>
      <c r="AU4" s="232">
        <v>9372</v>
      </c>
      <c r="AV4" s="232">
        <v>9699.15</v>
      </c>
      <c r="AW4" s="232">
        <v>9317.49</v>
      </c>
      <c r="AX4" s="232">
        <v>9997</v>
      </c>
      <c r="AY4" s="232">
        <v>9512.6833333333325</v>
      </c>
      <c r="AZ4" s="232">
        <v>7745.0846153846151</v>
      </c>
      <c r="BA4" s="232">
        <v>8001</v>
      </c>
      <c r="BB4" s="232">
        <v>8797</v>
      </c>
      <c r="BC4" s="232">
        <v>8927</v>
      </c>
      <c r="BD4" s="232">
        <v>8464</v>
      </c>
      <c r="BE4" s="232">
        <v>8355.8984375</v>
      </c>
      <c r="BF4" s="232">
        <v>8158</v>
      </c>
      <c r="BG4" s="232">
        <v>8477.7709163346608</v>
      </c>
      <c r="BH4" s="232">
        <v>8438</v>
      </c>
      <c r="BI4" s="232">
        <v>9752.7999999999993</v>
      </c>
      <c r="BJ4" s="232">
        <v>9209.7615384615383</v>
      </c>
      <c r="BK4" s="232">
        <v>9193.1796875</v>
      </c>
      <c r="BL4" s="232">
        <v>9146.7874015748039</v>
      </c>
      <c r="BM4" s="232">
        <v>9340.3809523809523</v>
      </c>
      <c r="BN4" s="232">
        <v>9524</v>
      </c>
      <c r="BO4" s="232">
        <v>9796.5538461538454</v>
      </c>
      <c r="BP4" s="232">
        <v>11092.2421875</v>
      </c>
      <c r="BQ4" s="232">
        <v>9944.9407114624501</v>
      </c>
      <c r="BR4" s="232">
        <v>12844.452380952382</v>
      </c>
      <c r="BS4" s="348">
        <v>13329</v>
      </c>
    </row>
    <row r="5" spans="1:73" s="250" customFormat="1" ht="12" customHeight="1">
      <c r="A5" s="485" t="s">
        <v>94</v>
      </c>
      <c r="B5" s="255"/>
      <c r="C5" s="22">
        <v>20.48</v>
      </c>
      <c r="D5" s="23">
        <v>19.62</v>
      </c>
      <c r="E5" s="23">
        <v>19.760000000000002</v>
      </c>
      <c r="F5" s="23">
        <v>16.5</v>
      </c>
      <c r="G5" s="23">
        <v>19.079999999999998</v>
      </c>
      <c r="H5" s="388"/>
      <c r="I5" s="22">
        <v>16.71</v>
      </c>
      <c r="J5" s="23">
        <v>16.39</v>
      </c>
      <c r="K5" s="23">
        <v>14.91</v>
      </c>
      <c r="L5" s="23">
        <v>14.77</v>
      </c>
      <c r="M5" s="23">
        <v>15.68</v>
      </c>
      <c r="N5" s="388"/>
      <c r="O5" s="22">
        <v>14.85</v>
      </c>
      <c r="P5" s="23">
        <v>16.78</v>
      </c>
      <c r="Q5" s="23">
        <v>19.61</v>
      </c>
      <c r="R5" s="23">
        <v>17.190000000000001</v>
      </c>
      <c r="S5" s="304">
        <v>17.14</v>
      </c>
      <c r="T5" s="315"/>
      <c r="U5" s="22">
        <v>17.420000000000002</v>
      </c>
      <c r="V5" s="23">
        <v>17.21</v>
      </c>
      <c r="W5" s="23">
        <v>16.835000000000001</v>
      </c>
      <c r="X5" s="23">
        <v>16.73</v>
      </c>
      <c r="Y5" s="304">
        <v>17.05</v>
      </c>
      <c r="Z5" s="306"/>
      <c r="AA5" s="389">
        <v>16.77</v>
      </c>
      <c r="AB5" s="304">
        <v>16.5322</v>
      </c>
      <c r="AC5" s="304">
        <v>15.02</v>
      </c>
      <c r="AD5" s="304">
        <v>14.54</v>
      </c>
      <c r="AE5" s="304">
        <v>15.705399999999999</v>
      </c>
      <c r="AG5" s="389">
        <v>15.57</v>
      </c>
      <c r="AH5" s="36">
        <v>14.88</v>
      </c>
      <c r="AI5" s="36">
        <v>16.98</v>
      </c>
      <c r="AJ5" s="36">
        <v>17.32</v>
      </c>
      <c r="AK5" s="47">
        <v>16.21</v>
      </c>
      <c r="AM5" s="389">
        <v>16.899999999999999</v>
      </c>
      <c r="AN5" s="36">
        <v>16.38</v>
      </c>
      <c r="AO5" s="36">
        <v>24.26</v>
      </c>
      <c r="AP5" s="304">
        <v>24.39</v>
      </c>
      <c r="AQ5" s="304">
        <v>20.54</v>
      </c>
      <c r="AR5" s="306"/>
      <c r="AS5" s="208">
        <v>26.26</v>
      </c>
      <c r="AT5" s="208">
        <v>26.69</v>
      </c>
      <c r="AU5" s="208">
        <v>24.36</v>
      </c>
      <c r="AV5" s="208">
        <v>23.333984375</v>
      </c>
      <c r="AW5" s="208">
        <v>25.135592885375495</v>
      </c>
      <c r="AX5" s="208">
        <v>24.01</v>
      </c>
      <c r="AY5" s="208">
        <v>22.60100001999999</v>
      </c>
      <c r="AZ5" s="208">
        <v>19.228906250000001</v>
      </c>
      <c r="BA5" s="208">
        <v>21.17</v>
      </c>
      <c r="BB5" s="208">
        <v>21.73</v>
      </c>
      <c r="BC5" s="208">
        <v>22.55</v>
      </c>
      <c r="BD5" s="208">
        <v>24.13</v>
      </c>
      <c r="BE5" s="208">
        <v>23.570625</v>
      </c>
      <c r="BF5" s="208">
        <v>23.196269841269842</v>
      </c>
      <c r="BG5" s="208">
        <v>23.349462151394427</v>
      </c>
      <c r="BH5" s="208">
        <v>23.34</v>
      </c>
      <c r="BI5" s="208">
        <v>28.84</v>
      </c>
      <c r="BJ5" s="208">
        <v>29.434000000000005</v>
      </c>
      <c r="BK5" s="208">
        <v>31.383515625000005</v>
      </c>
      <c r="BL5" s="208">
        <v>28.268838582677148</v>
      </c>
      <c r="BM5" s="208">
        <v>31.88214285714286</v>
      </c>
      <c r="BN5" s="208">
        <v>33.68</v>
      </c>
      <c r="BO5" s="208">
        <v>39.399846153846156</v>
      </c>
      <c r="BP5" s="208">
        <v>54.72859374999998</v>
      </c>
      <c r="BQ5" s="208">
        <v>40.025217381818159</v>
      </c>
      <c r="BR5" s="208">
        <v>84.325396825396808</v>
      </c>
      <c r="BS5" s="459">
        <v>73.150000000000006</v>
      </c>
    </row>
    <row r="6" spans="1:73" s="250" customFormat="1" ht="12" customHeight="1">
      <c r="A6" s="485" t="s">
        <v>95</v>
      </c>
      <c r="B6" s="255"/>
      <c r="C6" s="22">
        <v>3.06</v>
      </c>
      <c r="D6" s="23">
        <v>3.04</v>
      </c>
      <c r="E6" s="23">
        <v>3.15</v>
      </c>
      <c r="F6" s="23">
        <v>3.37</v>
      </c>
      <c r="G6" s="24">
        <v>3.15</v>
      </c>
      <c r="H6" s="388"/>
      <c r="I6" s="22">
        <v>3.73</v>
      </c>
      <c r="J6" s="23">
        <v>3.7</v>
      </c>
      <c r="K6" s="23">
        <v>3.77</v>
      </c>
      <c r="L6" s="23">
        <v>3.89</v>
      </c>
      <c r="M6" s="23">
        <v>3.77</v>
      </c>
      <c r="N6" s="388"/>
      <c r="O6" s="22">
        <v>3.96</v>
      </c>
      <c r="P6" s="23">
        <v>3.87</v>
      </c>
      <c r="Q6" s="23">
        <v>3.89</v>
      </c>
      <c r="R6" s="23">
        <v>4.0599999999999996</v>
      </c>
      <c r="S6" s="304">
        <v>3.94</v>
      </c>
      <c r="T6" s="315"/>
      <c r="U6" s="22">
        <v>4.0584828125000003</v>
      </c>
      <c r="V6" s="23">
        <v>3.8306918032786883</v>
      </c>
      <c r="W6" s="23">
        <v>3.6250546875000005</v>
      </c>
      <c r="X6" s="23">
        <v>3.6</v>
      </c>
      <c r="Y6" s="304">
        <v>3.78</v>
      </c>
      <c r="Z6" s="306"/>
      <c r="AA6" s="389">
        <v>3.4009</v>
      </c>
      <c r="AB6" s="304">
        <v>3.5777999999999999</v>
      </c>
      <c r="AC6" s="304">
        <v>3.7</v>
      </c>
      <c r="AD6" s="304">
        <v>3.7671000000000001</v>
      </c>
      <c r="AE6" s="304">
        <v>3.6116999999999999</v>
      </c>
      <c r="AG6" s="389">
        <v>3.7883</v>
      </c>
      <c r="AH6" s="36">
        <v>3.81</v>
      </c>
      <c r="AI6" s="36">
        <v>3.88</v>
      </c>
      <c r="AJ6" s="36">
        <v>3.87</v>
      </c>
      <c r="AK6" s="47">
        <v>3.84</v>
      </c>
      <c r="AM6" s="389">
        <v>3.92</v>
      </c>
      <c r="AN6" s="36">
        <v>4.09</v>
      </c>
      <c r="AO6" s="36">
        <v>3.8</v>
      </c>
      <c r="AP6" s="304">
        <v>3.78</v>
      </c>
      <c r="AQ6" s="304">
        <v>3.9</v>
      </c>
      <c r="AR6" s="306"/>
      <c r="AS6" s="208">
        <v>3.78</v>
      </c>
      <c r="AT6" s="208">
        <v>3.76</v>
      </c>
      <c r="AU6" s="208">
        <v>3.87</v>
      </c>
      <c r="AV6" s="208">
        <v>4.0420671874999989</v>
      </c>
      <c r="AW6" s="208">
        <v>3.86466771653543</v>
      </c>
      <c r="AX6" s="208">
        <v>4.1260000000000003</v>
      </c>
      <c r="AY6" s="208">
        <v>4.3596661290322585</v>
      </c>
      <c r="AZ6" s="208">
        <v>4.7139492307692299</v>
      </c>
      <c r="BA6" s="208">
        <v>4.6399999999999997</v>
      </c>
      <c r="BB6" s="208">
        <v>4.46</v>
      </c>
      <c r="BC6" s="208">
        <v>4.3899999999999997</v>
      </c>
      <c r="BD6" s="208">
        <v>4.17</v>
      </c>
      <c r="BE6" s="208">
        <v>4.1359953125000004</v>
      </c>
      <c r="BF6" s="208">
        <v>4.1113225806451625</v>
      </c>
      <c r="BG6" s="208">
        <v>4.2030075697211204</v>
      </c>
      <c r="BH6" s="208">
        <v>3.9921500000000001</v>
      </c>
      <c r="BI6" s="208">
        <v>3.9952000000000001</v>
      </c>
      <c r="BJ6" s="208">
        <v>3.9009953846153853</v>
      </c>
      <c r="BK6" s="208">
        <v>4.0349483870967733</v>
      </c>
      <c r="BL6" s="208">
        <v>3.9799075396825372</v>
      </c>
      <c r="BM6" s="208">
        <v>3.9931322580645157</v>
      </c>
      <c r="BN6" s="208">
        <v>3.76</v>
      </c>
      <c r="BO6" s="208">
        <v>3.6448830769230778</v>
      </c>
      <c r="BP6" s="208">
        <v>3.6432403225806445</v>
      </c>
      <c r="BQ6" s="208">
        <v>3.7587880478087632</v>
      </c>
      <c r="BR6" s="208">
        <v>3.6198887096774199</v>
      </c>
      <c r="BS6" s="459">
        <v>3.66</v>
      </c>
    </row>
    <row r="7" spans="1:73" s="250" customFormat="1" ht="11.25" customHeight="1">
      <c r="A7" s="485" t="s">
        <v>96</v>
      </c>
      <c r="B7" s="255"/>
      <c r="C7" s="22">
        <v>3.0344000000000002</v>
      </c>
      <c r="D7" s="23">
        <v>3.0472999999999999</v>
      </c>
      <c r="E7" s="23">
        <v>3.2972999999999999</v>
      </c>
      <c r="F7" s="23">
        <v>3.5072000000000001</v>
      </c>
      <c r="G7" s="23">
        <f>+F7</f>
        <v>3.5072000000000001</v>
      </c>
      <c r="H7" s="388"/>
      <c r="I7" s="22">
        <v>3.8125</v>
      </c>
      <c r="J7" s="23">
        <v>3.7645</v>
      </c>
      <c r="K7" s="23">
        <v>3.7753999999999999</v>
      </c>
      <c r="L7" s="23">
        <v>3.9011</v>
      </c>
      <c r="M7" s="23">
        <f>+L7</f>
        <v>3.9011</v>
      </c>
      <c r="N7" s="388"/>
      <c r="O7" s="22">
        <v>3.7589999999999999</v>
      </c>
      <c r="P7" s="23">
        <v>3.9803000000000002</v>
      </c>
      <c r="Q7" s="23">
        <v>3.8557999999999999</v>
      </c>
      <c r="R7" s="23">
        <v>4.1792999999999996</v>
      </c>
      <c r="S7" s="304">
        <f>+R7</f>
        <v>4.1792999999999996</v>
      </c>
      <c r="T7" s="315"/>
      <c r="U7" s="22">
        <v>3.95</v>
      </c>
      <c r="V7" s="23">
        <v>3.71</v>
      </c>
      <c r="W7" s="23">
        <v>3.65</v>
      </c>
      <c r="X7" s="23">
        <v>3.48</v>
      </c>
      <c r="Y7" s="304">
        <v>3.48</v>
      </c>
      <c r="Z7" s="306"/>
      <c r="AA7" s="389">
        <v>3.4138999999999999</v>
      </c>
      <c r="AB7" s="304">
        <v>3.7440000000000002</v>
      </c>
      <c r="AC7" s="304">
        <v>3.68</v>
      </c>
      <c r="AD7" s="304">
        <v>3.7597</v>
      </c>
      <c r="AE7" s="304">
        <v>3.7597</v>
      </c>
      <c r="AG7" s="389">
        <v>3.8365</v>
      </c>
      <c r="AH7" s="36">
        <v>3.73</v>
      </c>
      <c r="AI7" s="36">
        <v>4</v>
      </c>
      <c r="AJ7" s="36">
        <v>3.8</v>
      </c>
      <c r="AK7" s="47">
        <v>3.8</v>
      </c>
      <c r="AM7" s="389">
        <v>4.1500000000000004</v>
      </c>
      <c r="AN7" s="36">
        <v>3.98</v>
      </c>
      <c r="AO7" s="36">
        <v>3.87</v>
      </c>
      <c r="AP7" s="304">
        <v>3.76</v>
      </c>
      <c r="AQ7" s="304">
        <v>3.76</v>
      </c>
      <c r="AR7" s="306"/>
      <c r="AS7" s="208">
        <v>3.97</v>
      </c>
      <c r="AT7" s="208">
        <v>3.8</v>
      </c>
      <c r="AU7" s="208">
        <v>3.99</v>
      </c>
      <c r="AV7" s="208">
        <v>4.0599999999999996</v>
      </c>
      <c r="AW7" s="208">
        <v>4.0599999999999996</v>
      </c>
      <c r="AX7" s="208">
        <v>4.1801000000000004</v>
      </c>
      <c r="AY7" s="208">
        <v>4.4824999999999999</v>
      </c>
      <c r="AZ7" s="208">
        <v>4.9532999999999996</v>
      </c>
      <c r="BA7" s="208">
        <v>4.4000000000000004</v>
      </c>
      <c r="BB7" s="208">
        <v>4.4000000000000004</v>
      </c>
      <c r="BC7" s="208">
        <v>4.29</v>
      </c>
      <c r="BD7" s="208">
        <v>4.1100000000000003</v>
      </c>
      <c r="BE7" s="208">
        <v>4.3696999999999999</v>
      </c>
      <c r="BF7" s="208">
        <v>3.9350000000000001</v>
      </c>
      <c r="BG7" s="208">
        <v>3.9350000000000001</v>
      </c>
      <c r="BH7" s="208">
        <v>3.9885999999999999</v>
      </c>
      <c r="BI7" s="208">
        <v>4.032</v>
      </c>
      <c r="BJ7" s="208">
        <v>3.8193000000000001</v>
      </c>
      <c r="BK7" s="208">
        <v>4.1012000000000004</v>
      </c>
      <c r="BL7" s="208">
        <v>4.1012000000000004</v>
      </c>
      <c r="BM7" s="208">
        <v>3.8643000000000001</v>
      </c>
      <c r="BN7" s="208">
        <v>3.62</v>
      </c>
      <c r="BO7" s="208">
        <v>3.6315</v>
      </c>
      <c r="BP7" s="208">
        <v>3.6015999999999999</v>
      </c>
      <c r="BQ7" s="208">
        <v>3.6015999999999999</v>
      </c>
      <c r="BR7" s="208">
        <v>3.7408000000000001</v>
      </c>
      <c r="BS7" s="460">
        <v>3.77</v>
      </c>
    </row>
    <row r="8" spans="1:73" ht="7.5" customHeight="1">
      <c r="A8" s="262"/>
      <c r="B8" s="262"/>
    </row>
    <row r="9" spans="1:73" s="320" customFormat="1" ht="15.6" customHeight="1">
      <c r="A9" s="530" t="s">
        <v>97</v>
      </c>
      <c r="B9" s="390"/>
      <c r="C9" s="379" t="s">
        <v>0</v>
      </c>
      <c r="D9" s="379" t="s">
        <v>1</v>
      </c>
      <c r="E9" s="379" t="s">
        <v>2</v>
      </c>
      <c r="F9" s="379" t="s">
        <v>3</v>
      </c>
      <c r="G9" s="379">
        <v>2014</v>
      </c>
      <c r="H9" s="378"/>
      <c r="I9" s="379" t="s">
        <v>4</v>
      </c>
      <c r="J9" s="379" t="s">
        <v>5</v>
      </c>
      <c r="K9" s="379" t="s">
        <v>6</v>
      </c>
      <c r="L9" s="379" t="s">
        <v>7</v>
      </c>
      <c r="M9" s="379">
        <v>2015</v>
      </c>
      <c r="N9" s="379"/>
      <c r="O9" s="379" t="s">
        <v>8</v>
      </c>
      <c r="P9" s="379" t="s">
        <v>9</v>
      </c>
      <c r="Q9" s="379" t="s">
        <v>10</v>
      </c>
      <c r="R9" s="379" t="s">
        <v>11</v>
      </c>
      <c r="S9" s="379">
        <v>2016</v>
      </c>
      <c r="U9" s="379" t="s">
        <v>16</v>
      </c>
      <c r="V9" s="379" t="s">
        <v>17</v>
      </c>
      <c r="W9" s="379" t="s">
        <v>20</v>
      </c>
      <c r="X9" s="379" t="s">
        <v>21</v>
      </c>
      <c r="Y9" s="379">
        <v>2017</v>
      </c>
      <c r="Z9" s="379"/>
      <c r="AA9" s="391" t="s">
        <v>27</v>
      </c>
      <c r="AB9" s="391" t="s">
        <v>29</v>
      </c>
      <c r="AC9" s="391" t="s">
        <v>30</v>
      </c>
      <c r="AD9" s="391" t="s">
        <v>33</v>
      </c>
      <c r="AE9" s="391">
        <v>2018</v>
      </c>
      <c r="AG9" s="391" t="s">
        <v>35</v>
      </c>
      <c r="AH9" s="391" t="s">
        <v>36</v>
      </c>
      <c r="AI9" s="391" t="s">
        <v>39</v>
      </c>
      <c r="AJ9" s="391" t="s">
        <v>40</v>
      </c>
      <c r="AK9" s="447">
        <v>2019</v>
      </c>
      <c r="AM9" s="392" t="s">
        <v>41</v>
      </c>
      <c r="AN9" s="130" t="s">
        <v>42</v>
      </c>
      <c r="AO9" s="130" t="s">
        <v>43</v>
      </c>
      <c r="AP9" s="130" t="s">
        <v>44</v>
      </c>
      <c r="AQ9" s="447">
        <v>2020</v>
      </c>
      <c r="AR9" s="130"/>
      <c r="AS9" s="130" t="s">
        <v>47</v>
      </c>
      <c r="AT9" s="130" t="s">
        <v>48</v>
      </c>
      <c r="AU9" s="130" t="s">
        <v>49</v>
      </c>
      <c r="AV9" s="130" t="s">
        <v>50</v>
      </c>
      <c r="AW9" s="447">
        <v>2021</v>
      </c>
      <c r="AX9" s="130" t="s">
        <v>51</v>
      </c>
      <c r="AY9" s="130" t="s">
        <v>52</v>
      </c>
      <c r="AZ9" s="130" t="s">
        <v>53</v>
      </c>
      <c r="BA9" s="130" t="s">
        <v>54</v>
      </c>
      <c r="BB9" s="447">
        <v>2022</v>
      </c>
      <c r="BC9" s="130" t="s">
        <v>58</v>
      </c>
      <c r="BD9" s="130" t="s">
        <v>59</v>
      </c>
      <c r="BE9" s="130" t="s">
        <v>60</v>
      </c>
      <c r="BF9" s="130" t="s">
        <v>62</v>
      </c>
      <c r="BG9" s="130" t="s">
        <v>63</v>
      </c>
      <c r="BH9" s="130" t="s">
        <v>65</v>
      </c>
      <c r="BI9" s="130" t="s">
        <v>69</v>
      </c>
      <c r="BJ9" s="130" t="s">
        <v>71</v>
      </c>
      <c r="BK9" s="130" t="s">
        <v>73</v>
      </c>
      <c r="BL9" s="130" t="s">
        <v>74</v>
      </c>
      <c r="BM9" s="130" t="s">
        <v>77</v>
      </c>
      <c r="BN9" s="130" t="s">
        <v>80</v>
      </c>
      <c r="BO9" s="130" t="s">
        <v>82</v>
      </c>
      <c r="BP9" s="130" t="s">
        <v>84</v>
      </c>
      <c r="BQ9" s="130" t="s">
        <v>85</v>
      </c>
      <c r="BR9" s="130" t="s">
        <v>87</v>
      </c>
      <c r="BS9" s="205" t="s">
        <v>435</v>
      </c>
    </row>
    <row r="10" spans="1:73" s="275" customFormat="1" ht="12" customHeight="1">
      <c r="A10" s="271" t="s">
        <v>98</v>
      </c>
      <c r="B10" s="272"/>
      <c r="C10" s="182">
        <v>3800</v>
      </c>
      <c r="D10" s="181">
        <f>7727-C10</f>
        <v>3927</v>
      </c>
      <c r="E10" s="181">
        <v>4116</v>
      </c>
      <c r="F10" s="181">
        <f>G10-11843</f>
        <v>4790</v>
      </c>
      <c r="G10" s="181">
        <v>16633</v>
      </c>
      <c r="H10" s="272"/>
      <c r="I10" s="182">
        <v>3767</v>
      </c>
      <c r="J10" s="181">
        <v>4325</v>
      </c>
      <c r="K10" s="181">
        <v>3681</v>
      </c>
      <c r="L10" s="181">
        <v>4166</v>
      </c>
      <c r="M10" s="181">
        <v>15939</v>
      </c>
      <c r="N10" s="393"/>
      <c r="O10" s="182">
        <v>2979</v>
      </c>
      <c r="P10" s="181">
        <v>3561</v>
      </c>
      <c r="Q10" s="181">
        <v>3744</v>
      </c>
      <c r="R10" s="181">
        <v>4828</v>
      </c>
      <c r="S10" s="181">
        <v>15112</v>
      </c>
      <c r="U10" s="182">
        <v>3896</v>
      </c>
      <c r="V10" s="181">
        <v>3805</v>
      </c>
      <c r="W10" s="181">
        <v>3732</v>
      </c>
      <c r="X10" s="181">
        <v>4591</v>
      </c>
      <c r="Y10" s="181">
        <f>U10+V10+W10+X10</f>
        <v>16024</v>
      </c>
      <c r="Z10" s="14"/>
      <c r="AA10" s="182">
        <v>3206</v>
      </c>
      <c r="AB10" s="181">
        <v>3983</v>
      </c>
      <c r="AC10" s="181">
        <v>4128</v>
      </c>
      <c r="AD10" s="181">
        <v>4440</v>
      </c>
      <c r="AE10" s="181">
        <v>15757</v>
      </c>
      <c r="AG10" s="182">
        <v>4316</v>
      </c>
      <c r="AH10" s="192">
        <v>4515</v>
      </c>
      <c r="AI10" s="192">
        <f>13050-4316-4515</f>
        <v>4219</v>
      </c>
      <c r="AJ10" s="192">
        <v>4633</v>
      </c>
      <c r="AK10" s="181">
        <v>17683</v>
      </c>
      <c r="AL10" s="273"/>
      <c r="AM10" s="48">
        <v>4225</v>
      </c>
      <c r="AN10" s="48">
        <v>4672</v>
      </c>
      <c r="AO10" s="48">
        <v>4463</v>
      </c>
      <c r="AP10" s="394">
        <v>5966</v>
      </c>
      <c r="AQ10" s="394">
        <v>19326</v>
      </c>
      <c r="AR10" s="395"/>
      <c r="AS10" s="209">
        <v>5569</v>
      </c>
      <c r="AT10" s="209">
        <v>6575</v>
      </c>
      <c r="AU10" s="209">
        <v>5826</v>
      </c>
      <c r="AV10" s="209">
        <v>6648</v>
      </c>
      <c r="AW10" s="209">
        <v>24618</v>
      </c>
      <c r="AX10" s="209">
        <v>7555</v>
      </c>
      <c r="AY10" s="209">
        <v>7656</v>
      </c>
      <c r="AZ10" s="209">
        <v>6572</v>
      </c>
      <c r="BA10" s="209">
        <f>BB10-AZ10-AY10-AX10</f>
        <v>6646</v>
      </c>
      <c r="BB10" s="209">
        <v>28429</v>
      </c>
      <c r="BC10" s="209">
        <v>8370</v>
      </c>
      <c r="BD10" s="209">
        <v>7140</v>
      </c>
      <c r="BE10" s="209">
        <v>6960</v>
      </c>
      <c r="BF10" s="209">
        <v>6614</v>
      </c>
      <c r="BG10" s="209">
        <v>29084</v>
      </c>
      <c r="BH10" s="209">
        <v>7279</v>
      </c>
      <c r="BI10" s="209">
        <v>7797</v>
      </c>
      <c r="BJ10" s="209">
        <v>7185</v>
      </c>
      <c r="BK10" s="209">
        <v>7633</v>
      </c>
      <c r="BL10" s="209">
        <f>+BK10+BJ10+BI10+BH10</f>
        <v>29894</v>
      </c>
      <c r="BM10" s="209">
        <v>7537</v>
      </c>
      <c r="BN10" s="209">
        <v>7323</v>
      </c>
      <c r="BO10" s="209">
        <v>7126</v>
      </c>
      <c r="BP10" s="209">
        <v>8978</v>
      </c>
      <c r="BQ10" s="209">
        <v>30964</v>
      </c>
      <c r="BR10" s="209">
        <v>10493</v>
      </c>
      <c r="BS10" s="457">
        <v>11434</v>
      </c>
      <c r="BU10" s="482"/>
    </row>
    <row r="11" spans="1:73" ht="12" customHeight="1">
      <c r="A11" s="492" t="s">
        <v>266</v>
      </c>
      <c r="B11" s="277"/>
      <c r="C11" s="177">
        <v>3153</v>
      </c>
      <c r="D11" s="174">
        <v>3021</v>
      </c>
      <c r="E11" s="174">
        <v>3244</v>
      </c>
      <c r="F11" s="174">
        <v>3799</v>
      </c>
      <c r="G11" s="174">
        <v>13217</v>
      </c>
      <c r="H11" s="277"/>
      <c r="I11" s="177">
        <v>2994</v>
      </c>
      <c r="J11" s="174">
        <v>3474</v>
      </c>
      <c r="K11" s="174">
        <v>2869</v>
      </c>
      <c r="L11" s="174">
        <v>3161</v>
      </c>
      <c r="M11" s="174">
        <v>12498</v>
      </c>
      <c r="N11" s="396"/>
      <c r="O11" s="177">
        <v>2280</v>
      </c>
      <c r="P11" s="174">
        <v>2585</v>
      </c>
      <c r="Q11" s="174">
        <v>2517</v>
      </c>
      <c r="R11" s="174">
        <v>3108</v>
      </c>
      <c r="S11" s="174">
        <v>10490</v>
      </c>
      <c r="U11" s="177">
        <v>2916</v>
      </c>
      <c r="V11" s="174">
        <v>2804</v>
      </c>
      <c r="W11" s="174">
        <v>2882</v>
      </c>
      <c r="X11" s="174">
        <v>3611</v>
      </c>
      <c r="Y11" s="174">
        <v>12213</v>
      </c>
      <c r="Z11" s="314"/>
      <c r="AA11" s="177">
        <v>2525</v>
      </c>
      <c r="AB11" s="174">
        <v>3166</v>
      </c>
      <c r="AC11" s="174">
        <v>3149</v>
      </c>
      <c r="AD11" s="174">
        <v>3102</v>
      </c>
      <c r="AE11" s="174">
        <v>11942</v>
      </c>
      <c r="AG11" s="177">
        <v>3363</v>
      </c>
      <c r="AH11" s="217">
        <v>3472</v>
      </c>
      <c r="AI11" s="217">
        <f>10046-3363-3472</f>
        <v>3211</v>
      </c>
      <c r="AJ11" s="217">
        <v>3428</v>
      </c>
      <c r="AK11" s="174">
        <v>13474</v>
      </c>
      <c r="AL11" s="278"/>
      <c r="AM11" s="40">
        <v>3083</v>
      </c>
      <c r="AN11" s="40">
        <v>3460</v>
      </c>
      <c r="AO11" s="40">
        <v>3354</v>
      </c>
      <c r="AP11" s="383">
        <v>4361</v>
      </c>
      <c r="AQ11" s="383">
        <v>14258</v>
      </c>
      <c r="AR11" s="384"/>
      <c r="AS11" s="210">
        <v>4300</v>
      </c>
      <c r="AT11" s="210">
        <v>5108</v>
      </c>
      <c r="AU11" s="210">
        <v>4403</v>
      </c>
      <c r="AV11" s="210">
        <v>5268</v>
      </c>
      <c r="AW11" s="210">
        <v>19079</v>
      </c>
      <c r="AX11" s="210">
        <v>5824</v>
      </c>
      <c r="AY11" s="210">
        <v>6089</v>
      </c>
      <c r="AZ11" s="210">
        <v>5089</v>
      </c>
      <c r="BA11" s="210">
        <v>5206</v>
      </c>
      <c r="BB11" s="210">
        <v>22208</v>
      </c>
      <c r="BC11" s="210">
        <v>6447</v>
      </c>
      <c r="BD11" s="210">
        <v>5535</v>
      </c>
      <c r="BE11" s="210">
        <v>5226</v>
      </c>
      <c r="BF11" s="210">
        <v>5082</v>
      </c>
      <c r="BG11" s="210">
        <v>22290</v>
      </c>
      <c r="BH11" s="210">
        <v>5714</v>
      </c>
      <c r="BI11" s="210">
        <v>5933</v>
      </c>
      <c r="BJ11" s="210">
        <v>5512</v>
      </c>
      <c r="BK11" s="210">
        <v>5630</v>
      </c>
      <c r="BL11" s="210">
        <f t="shared" ref="BL11:BL35" si="0">+BK11+BJ11+BI11+BH11</f>
        <v>22789</v>
      </c>
      <c r="BM11" s="210">
        <v>5567</v>
      </c>
      <c r="BN11" s="210">
        <v>5344</v>
      </c>
      <c r="BO11" s="210">
        <v>5225</v>
      </c>
      <c r="BP11" s="210">
        <v>6242</v>
      </c>
      <c r="BQ11" s="210">
        <v>22378</v>
      </c>
      <c r="BR11" s="210">
        <v>6860</v>
      </c>
      <c r="BS11" s="349">
        <v>7570</v>
      </c>
      <c r="BU11" s="373"/>
    </row>
    <row r="12" spans="1:73" ht="12" customHeight="1">
      <c r="A12" s="492" t="s">
        <v>267</v>
      </c>
      <c r="B12" s="277"/>
      <c r="C12" s="177">
        <v>455</v>
      </c>
      <c r="D12" s="174">
        <v>690</v>
      </c>
      <c r="E12" s="174">
        <v>610</v>
      </c>
      <c r="F12" s="174">
        <v>717</v>
      </c>
      <c r="G12" s="174">
        <v>2471</v>
      </c>
      <c r="H12" s="277"/>
      <c r="I12" s="177">
        <v>501</v>
      </c>
      <c r="J12" s="174">
        <v>628</v>
      </c>
      <c r="K12" s="174">
        <v>562</v>
      </c>
      <c r="L12" s="174">
        <v>703</v>
      </c>
      <c r="M12" s="174">
        <v>2394</v>
      </c>
      <c r="N12" s="396"/>
      <c r="O12" s="177">
        <v>410</v>
      </c>
      <c r="P12" s="174">
        <v>676</v>
      </c>
      <c r="Q12" s="174">
        <v>739</v>
      </c>
      <c r="R12" s="174">
        <v>771</v>
      </c>
      <c r="S12" s="174">
        <v>2596</v>
      </c>
      <c r="U12" s="177">
        <v>560</v>
      </c>
      <c r="V12" s="174">
        <v>660</v>
      </c>
      <c r="W12" s="174">
        <v>507</v>
      </c>
      <c r="X12" s="174">
        <v>714</v>
      </c>
      <c r="Y12" s="174">
        <v>2441</v>
      </c>
      <c r="Z12" s="314"/>
      <c r="AA12" s="177">
        <v>392</v>
      </c>
      <c r="AB12" s="174">
        <v>538</v>
      </c>
      <c r="AC12" s="174">
        <v>683</v>
      </c>
      <c r="AD12" s="174">
        <v>488</v>
      </c>
      <c r="AE12" s="174">
        <v>2101</v>
      </c>
      <c r="AG12" s="177">
        <v>620</v>
      </c>
      <c r="AH12" s="217">
        <v>693</v>
      </c>
      <c r="AI12" s="217">
        <f>2004-AG12-AH12</f>
        <v>691</v>
      </c>
      <c r="AJ12" s="217">
        <v>785</v>
      </c>
      <c r="AK12" s="174">
        <v>2789</v>
      </c>
      <c r="AL12" s="278"/>
      <c r="AM12" s="40">
        <v>748</v>
      </c>
      <c r="AN12" s="40">
        <v>776</v>
      </c>
      <c r="AO12" s="40">
        <v>802</v>
      </c>
      <c r="AP12" s="383">
        <v>1127</v>
      </c>
      <c r="AQ12" s="383">
        <v>3453</v>
      </c>
      <c r="AR12" s="384"/>
      <c r="AS12" s="210">
        <v>900</v>
      </c>
      <c r="AT12" s="210">
        <v>1096</v>
      </c>
      <c r="AU12" s="210">
        <v>1052</v>
      </c>
      <c r="AV12" s="210">
        <v>942</v>
      </c>
      <c r="AW12" s="210">
        <v>3990</v>
      </c>
      <c r="AX12" s="210">
        <v>1214</v>
      </c>
      <c r="AY12" s="210">
        <v>1118</v>
      </c>
      <c r="AZ12" s="210">
        <v>1029</v>
      </c>
      <c r="BA12" s="210">
        <v>980</v>
      </c>
      <c r="BB12" s="210">
        <v>4341</v>
      </c>
      <c r="BC12" s="210">
        <v>1221</v>
      </c>
      <c r="BD12" s="210">
        <v>1035</v>
      </c>
      <c r="BE12" s="210">
        <v>1154</v>
      </c>
      <c r="BF12" s="210">
        <v>979</v>
      </c>
      <c r="BG12" s="210">
        <v>4389</v>
      </c>
      <c r="BH12" s="210">
        <v>1018</v>
      </c>
      <c r="BI12" s="210">
        <v>1266</v>
      </c>
      <c r="BJ12" s="210">
        <v>1202</v>
      </c>
      <c r="BK12" s="210">
        <v>1431</v>
      </c>
      <c r="BL12" s="210">
        <f t="shared" si="0"/>
        <v>4917</v>
      </c>
      <c r="BM12" s="210">
        <v>1340</v>
      </c>
      <c r="BN12" s="210">
        <v>1407</v>
      </c>
      <c r="BO12" s="210">
        <v>1371</v>
      </c>
      <c r="BP12" s="210">
        <v>2015</v>
      </c>
      <c r="BQ12" s="210">
        <v>6133</v>
      </c>
      <c r="BR12" s="210">
        <v>2919</v>
      </c>
      <c r="BS12" s="349">
        <v>2924</v>
      </c>
      <c r="BU12" s="373"/>
    </row>
    <row r="13" spans="1:73" s="275" customFormat="1" ht="11.25" customHeight="1">
      <c r="A13" s="271" t="s">
        <v>99</v>
      </c>
      <c r="B13" s="272"/>
      <c r="C13" s="175">
        <v>-2822</v>
      </c>
      <c r="D13" s="173">
        <v>-2905</v>
      </c>
      <c r="E13" s="173">
        <v>-3014</v>
      </c>
      <c r="F13" s="173">
        <v>-3524</v>
      </c>
      <c r="G13" s="173">
        <v>-12265</v>
      </c>
      <c r="H13" s="272"/>
      <c r="I13" s="175">
        <v>-2732</v>
      </c>
      <c r="J13" s="173">
        <v>-3050</v>
      </c>
      <c r="K13" s="173">
        <v>-2820</v>
      </c>
      <c r="L13" s="173">
        <v>-3207</v>
      </c>
      <c r="M13" s="173">
        <v>-11809</v>
      </c>
      <c r="N13" s="393"/>
      <c r="O13" s="175">
        <v>-2355</v>
      </c>
      <c r="P13" s="173">
        <v>-2785</v>
      </c>
      <c r="Q13" s="173">
        <v>-2831</v>
      </c>
      <c r="R13" s="173">
        <v>-3659</v>
      </c>
      <c r="S13" s="173">
        <v>-11630</v>
      </c>
      <c r="U13" s="175">
        <v>-2655</v>
      </c>
      <c r="V13" s="173">
        <v>-2916</v>
      </c>
      <c r="W13" s="173">
        <v>-2794</v>
      </c>
      <c r="X13" s="173">
        <v>-3657</v>
      </c>
      <c r="Y13" s="173">
        <f t="shared" ref="Y13:Y35" si="1">U13+V13+W13+X13</f>
        <v>-12022</v>
      </c>
      <c r="Z13" s="14"/>
      <c r="AA13" s="175">
        <v>-2504</v>
      </c>
      <c r="AB13" s="173">
        <v>-3101</v>
      </c>
      <c r="AC13" s="173">
        <v>-3290</v>
      </c>
      <c r="AD13" s="173">
        <v>-3642</v>
      </c>
      <c r="AE13" s="173">
        <v>-12537</v>
      </c>
      <c r="AG13" s="175">
        <v>-3397</v>
      </c>
      <c r="AH13" s="191">
        <v>-3659</v>
      </c>
      <c r="AI13" s="191">
        <f>-10371-AG13-AH13</f>
        <v>-3315</v>
      </c>
      <c r="AJ13" s="191">
        <v>-3925</v>
      </c>
      <c r="AK13" s="173">
        <v>-14296</v>
      </c>
      <c r="AL13" s="273"/>
      <c r="AM13" s="191">
        <v>-3408</v>
      </c>
      <c r="AN13" s="191">
        <v>-3713</v>
      </c>
      <c r="AO13" s="191">
        <v>-3396</v>
      </c>
      <c r="AP13" s="173">
        <v>-4634</v>
      </c>
      <c r="AQ13" s="173">
        <v>-15151</v>
      </c>
      <c r="AR13" s="14"/>
      <c r="AS13" s="207">
        <v>-3997</v>
      </c>
      <c r="AT13" s="207">
        <v>-5208</v>
      </c>
      <c r="AU13" s="207">
        <v>-4788</v>
      </c>
      <c r="AV13" s="207">
        <v>-5448</v>
      </c>
      <c r="AW13" s="207">
        <v>-19441</v>
      </c>
      <c r="AX13" s="207">
        <v>-5732</v>
      </c>
      <c r="AY13" s="207">
        <v>-6171</v>
      </c>
      <c r="AZ13" s="207">
        <v>-5626</v>
      </c>
      <c r="BA13" s="207">
        <f>BB13-AZ13-AY13-AX13</f>
        <v>-5628</v>
      </c>
      <c r="BB13" s="207">
        <v>-23157</v>
      </c>
      <c r="BC13" s="207">
        <v>-7108</v>
      </c>
      <c r="BD13" s="207">
        <v>-6305</v>
      </c>
      <c r="BE13" s="207">
        <v>-6182</v>
      </c>
      <c r="BF13" s="207">
        <v>-8819</v>
      </c>
      <c r="BG13" s="207">
        <v>-28414</v>
      </c>
      <c r="BH13" s="207">
        <v>-6510</v>
      </c>
      <c r="BI13" s="207">
        <v>-6233</v>
      </c>
      <c r="BJ13" s="207">
        <v>-6260</v>
      </c>
      <c r="BK13" s="207">
        <v>-6500</v>
      </c>
      <c r="BL13" s="207">
        <f>+BK13+BJ13+BI13+BH13</f>
        <v>-25503</v>
      </c>
      <c r="BM13" s="207">
        <v>-6428</v>
      </c>
      <c r="BN13" s="207">
        <v>-6206</v>
      </c>
      <c r="BO13" s="207">
        <v>-6055</v>
      </c>
      <c r="BP13" s="207">
        <v>-7498</v>
      </c>
      <c r="BQ13" s="207">
        <v>-26187</v>
      </c>
      <c r="BR13" s="207">
        <v>-6415</v>
      </c>
      <c r="BS13" s="366">
        <v>-9104</v>
      </c>
      <c r="BU13" s="482"/>
    </row>
    <row r="14" spans="1:73" ht="12" customHeight="1">
      <c r="A14" s="487" t="s">
        <v>100</v>
      </c>
      <c r="B14" s="372"/>
      <c r="C14" s="175">
        <f>C10+C13</f>
        <v>978</v>
      </c>
      <c r="D14" s="173">
        <f>D10+D13</f>
        <v>1022</v>
      </c>
      <c r="E14" s="173">
        <f>E10+E13</f>
        <v>1102</v>
      </c>
      <c r="F14" s="173">
        <f>F10+F13</f>
        <v>1266</v>
      </c>
      <c r="G14" s="173">
        <f>G10+G13</f>
        <v>4368</v>
      </c>
      <c r="H14" s="372"/>
      <c r="I14" s="175">
        <f>I10+I13</f>
        <v>1035</v>
      </c>
      <c r="J14" s="173">
        <f>J10+J13</f>
        <v>1275</v>
      </c>
      <c r="K14" s="173">
        <f>K10+K13</f>
        <v>861</v>
      </c>
      <c r="L14" s="173">
        <f>L10+L13</f>
        <v>959</v>
      </c>
      <c r="M14" s="173">
        <f>M10+M13</f>
        <v>4130</v>
      </c>
      <c r="N14" s="393"/>
      <c r="O14" s="175">
        <f>O10+O13</f>
        <v>624</v>
      </c>
      <c r="P14" s="173">
        <f>P10+P13</f>
        <v>776</v>
      </c>
      <c r="Q14" s="173">
        <f>Q10+Q13</f>
        <v>913</v>
      </c>
      <c r="R14" s="173">
        <f>R10+R13</f>
        <v>1169</v>
      </c>
      <c r="S14" s="173">
        <f>S10+S13</f>
        <v>3482</v>
      </c>
      <c r="U14" s="175">
        <f>U10+U13</f>
        <v>1241</v>
      </c>
      <c r="V14" s="173">
        <f>V10+V13</f>
        <v>889</v>
      </c>
      <c r="W14" s="173">
        <f>W10+W13</f>
        <v>938</v>
      </c>
      <c r="X14" s="173">
        <v>934</v>
      </c>
      <c r="Y14" s="173">
        <f t="shared" si="1"/>
        <v>4002</v>
      </c>
      <c r="Z14" s="14"/>
      <c r="AA14" s="175">
        <f>AA10+AA13</f>
        <v>702</v>
      </c>
      <c r="AB14" s="173">
        <f>AB10+AB13</f>
        <v>882</v>
      </c>
      <c r="AC14" s="173">
        <f>AC10+AC13</f>
        <v>838</v>
      </c>
      <c r="AD14" s="173">
        <f>AD10+AD13</f>
        <v>798</v>
      </c>
      <c r="AE14" s="173">
        <f>AE10+AE13</f>
        <v>3220</v>
      </c>
      <c r="AG14" s="175">
        <f>AG10+AG13</f>
        <v>919</v>
      </c>
      <c r="AH14" s="191">
        <f>AH10+AH13</f>
        <v>856</v>
      </c>
      <c r="AI14" s="191">
        <f>AI10+AI13</f>
        <v>904</v>
      </c>
      <c r="AJ14" s="217">
        <f>AJ10+AJ13</f>
        <v>708</v>
      </c>
      <c r="AK14" s="173">
        <v>3387</v>
      </c>
      <c r="AL14" s="278"/>
      <c r="AM14" s="48">
        <v>817</v>
      </c>
      <c r="AN14" s="48">
        <v>959</v>
      </c>
      <c r="AO14" s="48">
        <f>+AO10+AO13</f>
        <v>1067</v>
      </c>
      <c r="AP14" s="394">
        <v>1332</v>
      </c>
      <c r="AQ14" s="394">
        <f>AQ10+AQ13</f>
        <v>4175</v>
      </c>
      <c r="AR14" s="395"/>
      <c r="AS14" s="233">
        <f>AS10+AS13</f>
        <v>1572</v>
      </c>
      <c r="AT14" s="233">
        <v>1367</v>
      </c>
      <c r="AU14" s="233">
        <v>1038</v>
      </c>
      <c r="AV14" s="233">
        <v>1200</v>
      </c>
      <c r="AW14" s="233">
        <v>5177</v>
      </c>
      <c r="AX14" s="233">
        <f>AX10+AX13</f>
        <v>1823</v>
      </c>
      <c r="AY14" s="233">
        <f>AY10+AY13</f>
        <v>1485</v>
      </c>
      <c r="AZ14" s="233">
        <f>AZ10+AZ13</f>
        <v>946</v>
      </c>
      <c r="BA14" s="233">
        <f>BA10+BA13</f>
        <v>1018</v>
      </c>
      <c r="BB14" s="233">
        <f>BB10+BB13</f>
        <v>5272</v>
      </c>
      <c r="BC14" s="233">
        <v>1262</v>
      </c>
      <c r="BD14" s="233">
        <v>835</v>
      </c>
      <c r="BE14" s="233">
        <v>778</v>
      </c>
      <c r="BF14" s="207">
        <v>-2205</v>
      </c>
      <c r="BG14" s="233">
        <v>670</v>
      </c>
      <c r="BH14" s="233">
        <v>769</v>
      </c>
      <c r="BI14" s="233">
        <v>1564</v>
      </c>
      <c r="BJ14" s="233">
        <f>BJ10+BJ13</f>
        <v>925</v>
      </c>
      <c r="BK14" s="233">
        <v>1133</v>
      </c>
      <c r="BL14" s="233">
        <f>BL10+BL13</f>
        <v>4391</v>
      </c>
      <c r="BM14" s="233">
        <v>1109</v>
      </c>
      <c r="BN14" s="233">
        <v>1117</v>
      </c>
      <c r="BO14" s="233">
        <v>1071</v>
      </c>
      <c r="BP14" s="233">
        <v>1480</v>
      </c>
      <c r="BQ14" s="233">
        <v>4777</v>
      </c>
      <c r="BR14" s="233">
        <v>4078</v>
      </c>
      <c r="BS14" s="366">
        <v>2330</v>
      </c>
      <c r="BU14" s="482"/>
    </row>
    <row r="15" spans="1:73" ht="12" customHeight="1">
      <c r="A15" s="497" t="s">
        <v>101</v>
      </c>
      <c r="B15" s="277"/>
      <c r="C15" s="177">
        <v>-30</v>
      </c>
      <c r="D15" s="174">
        <v>-32</v>
      </c>
      <c r="E15" s="174">
        <v>-27</v>
      </c>
      <c r="F15" s="174">
        <v>-31</v>
      </c>
      <c r="G15" s="174">
        <v>-120</v>
      </c>
      <c r="H15" s="277"/>
      <c r="I15" s="177">
        <v>-31</v>
      </c>
      <c r="J15" s="174">
        <f>-58-I15</f>
        <v>-27</v>
      </c>
      <c r="K15" s="174">
        <f>-85-J15-I15</f>
        <v>-27</v>
      </c>
      <c r="L15" s="174">
        <f>M15-K15-J15-I15</f>
        <v>-30</v>
      </c>
      <c r="M15" s="174">
        <v>-115</v>
      </c>
      <c r="N15" s="396"/>
      <c r="O15" s="177">
        <v>-25</v>
      </c>
      <c r="P15" s="174">
        <f>-50-O15</f>
        <v>-25</v>
      </c>
      <c r="Q15" s="174">
        <f>-85-P15-O15</f>
        <v>-35</v>
      </c>
      <c r="R15" s="174">
        <f>S15-Q15-P15-O15</f>
        <v>-41</v>
      </c>
      <c r="S15" s="174">
        <v>-126</v>
      </c>
      <c r="U15" s="177">
        <v>-26</v>
      </c>
      <c r="V15" s="174">
        <v>-30</v>
      </c>
      <c r="W15" s="174">
        <v>-27</v>
      </c>
      <c r="X15" s="174">
        <v>-29</v>
      </c>
      <c r="Y15" s="174">
        <f t="shared" si="1"/>
        <v>-112</v>
      </c>
      <c r="Z15" s="314"/>
      <c r="AA15" s="177">
        <v>-24</v>
      </c>
      <c r="AB15" s="174">
        <v>-28</v>
      </c>
      <c r="AC15" s="174">
        <v>-29</v>
      </c>
      <c r="AD15" s="174">
        <v>-34</v>
      </c>
      <c r="AE15" s="174">
        <v>-115</v>
      </c>
      <c r="AG15" s="177">
        <v>-31</v>
      </c>
      <c r="AH15" s="217">
        <v>-32</v>
      </c>
      <c r="AI15" s="217">
        <f>-92+31+32</f>
        <v>-29</v>
      </c>
      <c r="AJ15" s="217">
        <v>-32</v>
      </c>
      <c r="AK15" s="174">
        <v>-124</v>
      </c>
      <c r="AL15" s="278"/>
      <c r="AM15" s="217">
        <v>-31</v>
      </c>
      <c r="AN15" s="217">
        <v>-35</v>
      </c>
      <c r="AO15" s="217">
        <v>-30</v>
      </c>
      <c r="AP15" s="174">
        <v>-36</v>
      </c>
      <c r="AQ15" s="174">
        <v>-132</v>
      </c>
      <c r="AR15" s="314"/>
      <c r="AS15" s="206">
        <v>-39</v>
      </c>
      <c r="AT15" s="206">
        <v>-39</v>
      </c>
      <c r="AU15" s="206">
        <v>-37</v>
      </c>
      <c r="AV15" s="206">
        <v>-41</v>
      </c>
      <c r="AW15" s="206">
        <v>-156</v>
      </c>
      <c r="AX15" s="206">
        <v>-39</v>
      </c>
      <c r="AY15" s="206">
        <v>-45</v>
      </c>
      <c r="AZ15" s="206">
        <v>-43</v>
      </c>
      <c r="BA15" s="206">
        <f>BB15-AZ15-AY15-AX15</f>
        <v>-46</v>
      </c>
      <c r="BB15" s="206">
        <v>-173</v>
      </c>
      <c r="BC15" s="206">
        <v>-44</v>
      </c>
      <c r="BD15" s="206">
        <v>-43</v>
      </c>
      <c r="BE15" s="206">
        <v>-41</v>
      </c>
      <c r="BF15" s="206">
        <v>-42</v>
      </c>
      <c r="BG15" s="206">
        <v>-170</v>
      </c>
      <c r="BH15" s="206">
        <v>-47</v>
      </c>
      <c r="BI15" s="206">
        <v>-44</v>
      </c>
      <c r="BJ15" s="206">
        <v>-40</v>
      </c>
      <c r="BK15" s="206">
        <v>-46</v>
      </c>
      <c r="BL15" s="206">
        <f t="shared" si="0"/>
        <v>-177</v>
      </c>
      <c r="BM15" s="206">
        <v>-45</v>
      </c>
      <c r="BN15" s="206">
        <v>-44</v>
      </c>
      <c r="BO15" s="206">
        <v>-41</v>
      </c>
      <c r="BP15" s="206">
        <v>-48</v>
      </c>
      <c r="BQ15" s="206">
        <v>-178</v>
      </c>
      <c r="BR15" s="206">
        <v>-45</v>
      </c>
      <c r="BS15" s="351">
        <v>-54</v>
      </c>
      <c r="BU15" s="482"/>
    </row>
    <row r="16" spans="1:73" ht="12" customHeight="1">
      <c r="A16" s="497" t="s">
        <v>102</v>
      </c>
      <c r="B16" s="277"/>
      <c r="C16" s="177">
        <v>-172</v>
      </c>
      <c r="D16" s="174">
        <v>-166</v>
      </c>
      <c r="E16" s="174">
        <v>-173</v>
      </c>
      <c r="F16" s="174">
        <v>-224</v>
      </c>
      <c r="G16" s="174">
        <v>-735</v>
      </c>
      <c r="H16" s="277"/>
      <c r="I16" s="177">
        <v>-135</v>
      </c>
      <c r="J16" s="174">
        <f>-317-I16</f>
        <v>-182</v>
      </c>
      <c r="K16" s="174">
        <f>-489-J16-I16</f>
        <v>-172</v>
      </c>
      <c r="L16" s="174">
        <f>M16-K16-J16-I16</f>
        <v>-242</v>
      </c>
      <c r="M16" s="174">
        <v>-731</v>
      </c>
      <c r="N16" s="396"/>
      <c r="O16" s="177">
        <v>-140</v>
      </c>
      <c r="P16" s="174">
        <f>-338-O16</f>
        <v>-198</v>
      </c>
      <c r="Q16" s="174">
        <f>-534-P16-O16</f>
        <v>-196</v>
      </c>
      <c r="R16" s="174">
        <f>S16-Q16-P16-O16</f>
        <v>-227</v>
      </c>
      <c r="S16" s="174">
        <v>-761</v>
      </c>
      <c r="U16" s="177">
        <v>-150</v>
      </c>
      <c r="V16" s="174">
        <v>-189</v>
      </c>
      <c r="W16" s="174">
        <v>-199</v>
      </c>
      <c r="X16" s="174">
        <v>-227</v>
      </c>
      <c r="Y16" s="174">
        <f t="shared" si="1"/>
        <v>-765</v>
      </c>
      <c r="Z16" s="314"/>
      <c r="AA16" s="177">
        <v>-158</v>
      </c>
      <c r="AB16" s="174">
        <v>-208</v>
      </c>
      <c r="AC16" s="174">
        <v>-207</v>
      </c>
      <c r="AD16" s="174">
        <v>-235</v>
      </c>
      <c r="AE16" s="174">
        <v>-808</v>
      </c>
      <c r="AG16" s="177">
        <v>-163</v>
      </c>
      <c r="AH16" s="217">
        <v>-216</v>
      </c>
      <c r="AI16" s="217">
        <f>-612+163+216</f>
        <v>-233</v>
      </c>
      <c r="AJ16" s="217">
        <v>-259</v>
      </c>
      <c r="AK16" s="174">
        <v>-871</v>
      </c>
      <c r="AL16" s="278"/>
      <c r="AM16" s="217">
        <v>-170</v>
      </c>
      <c r="AN16" s="217">
        <v>-204</v>
      </c>
      <c r="AO16" s="217">
        <v>-217</v>
      </c>
      <c r="AP16" s="174">
        <v>-287</v>
      </c>
      <c r="AQ16" s="174">
        <v>-878</v>
      </c>
      <c r="AR16" s="314"/>
      <c r="AS16" s="206">
        <v>-174</v>
      </c>
      <c r="AT16" s="206">
        <v>-193</v>
      </c>
      <c r="AU16" s="206">
        <v>-245</v>
      </c>
      <c r="AV16" s="206">
        <v>-305</v>
      </c>
      <c r="AW16" s="206">
        <v>-917</v>
      </c>
      <c r="AX16" s="206">
        <v>-182</v>
      </c>
      <c r="AY16" s="206">
        <v>-298</v>
      </c>
      <c r="AZ16" s="206">
        <v>-274</v>
      </c>
      <c r="BA16" s="206">
        <f>BB16-AZ16-AY16-AX16</f>
        <v>-379</v>
      </c>
      <c r="BB16" s="206">
        <v>-1133</v>
      </c>
      <c r="BC16" s="206">
        <v>-221</v>
      </c>
      <c r="BD16" s="206">
        <v>-348</v>
      </c>
      <c r="BE16" s="206">
        <v>-291</v>
      </c>
      <c r="BF16" s="206">
        <v>-560</v>
      </c>
      <c r="BG16" s="206">
        <v>-1420</v>
      </c>
      <c r="BH16" s="206">
        <v>-221</v>
      </c>
      <c r="BI16" s="206">
        <v>-350</v>
      </c>
      <c r="BJ16" s="206">
        <v>-352</v>
      </c>
      <c r="BK16" s="206">
        <v>-435</v>
      </c>
      <c r="BL16" s="206">
        <f t="shared" si="0"/>
        <v>-1358</v>
      </c>
      <c r="BM16" s="206">
        <v>-256</v>
      </c>
      <c r="BN16" s="206">
        <v>-340</v>
      </c>
      <c r="BO16" s="206">
        <v>-347</v>
      </c>
      <c r="BP16" s="206">
        <v>-500</v>
      </c>
      <c r="BQ16" s="206">
        <v>-1443</v>
      </c>
      <c r="BR16" s="206">
        <v>-275</v>
      </c>
      <c r="BS16" s="351">
        <v>-432</v>
      </c>
      <c r="BU16" s="482"/>
    </row>
    <row r="17" spans="1:73" ht="12" customHeight="1">
      <c r="A17" s="487" t="s">
        <v>268</v>
      </c>
      <c r="B17" s="372"/>
      <c r="C17" s="175">
        <f>C14+C15+C16</f>
        <v>776</v>
      </c>
      <c r="D17" s="173">
        <f>D14+D15+D16</f>
        <v>824</v>
      </c>
      <c r="E17" s="173">
        <f>E14+E15+E16</f>
        <v>902</v>
      </c>
      <c r="F17" s="173">
        <f>F14+F15+F16</f>
        <v>1011</v>
      </c>
      <c r="G17" s="173">
        <f>G14+G15+G16</f>
        <v>3513</v>
      </c>
      <c r="H17" s="372"/>
      <c r="I17" s="175">
        <f>I14+I15+I16</f>
        <v>869</v>
      </c>
      <c r="J17" s="173">
        <f>J14+J15+J16</f>
        <v>1066</v>
      </c>
      <c r="K17" s="173">
        <f>K14+K15+K16</f>
        <v>662</v>
      </c>
      <c r="L17" s="173">
        <f>L14+L15+L16</f>
        <v>687</v>
      </c>
      <c r="M17" s="173">
        <f>M14+M15+M16</f>
        <v>3284</v>
      </c>
      <c r="N17" s="393"/>
      <c r="O17" s="175">
        <f>O14+O15+O16</f>
        <v>459</v>
      </c>
      <c r="P17" s="173">
        <f>P14+P15+P16</f>
        <v>553</v>
      </c>
      <c r="Q17" s="173">
        <f>Q14+Q15+Q16</f>
        <v>682</v>
      </c>
      <c r="R17" s="173">
        <f>R14+R15+R16</f>
        <v>901</v>
      </c>
      <c r="S17" s="173">
        <f>S14+S15+S16</f>
        <v>2595</v>
      </c>
      <c r="U17" s="175">
        <f>U14+U15+U16</f>
        <v>1065</v>
      </c>
      <c r="V17" s="173">
        <f>V14+V15+V16</f>
        <v>670</v>
      </c>
      <c r="W17" s="173">
        <f>W14+W15+W16</f>
        <v>712</v>
      </c>
      <c r="X17" s="173">
        <v>678</v>
      </c>
      <c r="Y17" s="173">
        <f t="shared" si="1"/>
        <v>3125</v>
      </c>
      <c r="Z17" s="14"/>
      <c r="AA17" s="175">
        <f>AA14+AA15+AA16</f>
        <v>520</v>
      </c>
      <c r="AB17" s="173">
        <f>AB14+AB15+AB16</f>
        <v>646</v>
      </c>
      <c r="AC17" s="173">
        <f>AC14+AC15+AC16</f>
        <v>602</v>
      </c>
      <c r="AD17" s="173">
        <f>AD14+AD15+AD16</f>
        <v>529</v>
      </c>
      <c r="AE17" s="173">
        <f>AE14+AE15+AE16</f>
        <v>2297</v>
      </c>
      <c r="AG17" s="175">
        <f>AG14+AG15+AG16</f>
        <v>725</v>
      </c>
      <c r="AH17" s="191">
        <f>AH14+AH15+AH16</f>
        <v>608</v>
      </c>
      <c r="AI17" s="191">
        <f>AI14+AI15+AI16</f>
        <v>642</v>
      </c>
      <c r="AJ17" s="191">
        <f>AJ14+AJ15+AJ16</f>
        <v>417</v>
      </c>
      <c r="AK17" s="173">
        <v>2392</v>
      </c>
      <c r="AL17" s="278"/>
      <c r="AM17" s="48">
        <v>616</v>
      </c>
      <c r="AN17" s="48">
        <v>720</v>
      </c>
      <c r="AO17" s="48">
        <f>+AO14+AO15+AO16</f>
        <v>820</v>
      </c>
      <c r="AP17" s="394">
        <v>1009</v>
      </c>
      <c r="AQ17" s="394">
        <f>AQ14+AQ15+AQ16</f>
        <v>3165</v>
      </c>
      <c r="AR17" s="395"/>
      <c r="AS17" s="233">
        <f t="shared" ref="AS17:BA17" si="2">AS14+AS15+AS16</f>
        <v>1359</v>
      </c>
      <c r="AT17" s="233">
        <f t="shared" si="2"/>
        <v>1135</v>
      </c>
      <c r="AU17" s="233">
        <f t="shared" si="2"/>
        <v>756</v>
      </c>
      <c r="AV17" s="233">
        <f t="shared" si="2"/>
        <v>854</v>
      </c>
      <c r="AW17" s="233">
        <f t="shared" si="2"/>
        <v>4104</v>
      </c>
      <c r="AX17" s="233">
        <f>AX14+AX15+AX16</f>
        <v>1602</v>
      </c>
      <c r="AY17" s="233">
        <f>AY14+AY15+AY16</f>
        <v>1142</v>
      </c>
      <c r="AZ17" s="233">
        <f t="shared" si="2"/>
        <v>629</v>
      </c>
      <c r="BA17" s="233">
        <f t="shared" si="2"/>
        <v>593</v>
      </c>
      <c r="BB17" s="233">
        <f>BB14+BB15+BB16</f>
        <v>3966</v>
      </c>
      <c r="BC17" s="233">
        <v>997</v>
      </c>
      <c r="BD17" s="233">
        <f>+BD14+BD15+BD16</f>
        <v>444</v>
      </c>
      <c r="BE17" s="233">
        <f>+BE14+BE15+BE16</f>
        <v>446</v>
      </c>
      <c r="BF17" s="207">
        <v>-2807</v>
      </c>
      <c r="BG17" s="207">
        <v>-920</v>
      </c>
      <c r="BH17" s="207">
        <v>501</v>
      </c>
      <c r="BI17" s="207">
        <v>1170</v>
      </c>
      <c r="BJ17" s="207">
        <f>BJ14+BJ15+BJ16</f>
        <v>533</v>
      </c>
      <c r="BK17" s="207">
        <f>BK14+BK15+BK16</f>
        <v>652</v>
      </c>
      <c r="BL17" s="207">
        <f>BL14+BL15+BL16</f>
        <v>2856</v>
      </c>
      <c r="BM17" s="207">
        <v>808</v>
      </c>
      <c r="BN17" s="207">
        <v>733</v>
      </c>
      <c r="BO17" s="207">
        <v>683</v>
      </c>
      <c r="BP17" s="207">
        <v>932</v>
      </c>
      <c r="BQ17" s="207">
        <v>3156</v>
      </c>
      <c r="BR17" s="207">
        <v>3758</v>
      </c>
      <c r="BS17" s="366">
        <v>1844</v>
      </c>
      <c r="BU17" s="482"/>
    </row>
    <row r="18" spans="1:73" s="275" customFormat="1" ht="12" customHeight="1">
      <c r="A18" s="489" t="s">
        <v>111</v>
      </c>
      <c r="B18" s="272"/>
      <c r="C18" s="175">
        <f>SUM(C19:C25)</f>
        <v>-58</v>
      </c>
      <c r="D18" s="173">
        <f>-54-C18</f>
        <v>4</v>
      </c>
      <c r="E18" s="173">
        <f>SUM(E20:E25)</f>
        <v>51</v>
      </c>
      <c r="F18" s="173">
        <f>SUM(F19:F25)</f>
        <v>35</v>
      </c>
      <c r="G18" s="173">
        <v>32</v>
      </c>
      <c r="H18" s="272"/>
      <c r="I18" s="175">
        <f>SUM(I19:I25)</f>
        <v>-79</v>
      </c>
      <c r="J18" s="173">
        <f>-12-I18</f>
        <v>67</v>
      </c>
      <c r="K18" s="173">
        <v>-95</v>
      </c>
      <c r="L18" s="173">
        <v>-4957</v>
      </c>
      <c r="M18" s="173">
        <v>-5064</v>
      </c>
      <c r="N18" s="393"/>
      <c r="O18" s="175">
        <v>-162</v>
      </c>
      <c r="P18" s="173">
        <f>161-O18</f>
        <v>323</v>
      </c>
      <c r="Q18" s="173">
        <v>-81</v>
      </c>
      <c r="R18" s="173">
        <v>-5509</v>
      </c>
      <c r="S18" s="173">
        <v>-5429</v>
      </c>
      <c r="U18" s="175">
        <f>U19+U20+U21+U23+U25</f>
        <v>-270</v>
      </c>
      <c r="V18" s="173">
        <f>V19+V20+V21+V23+V25</f>
        <v>-327</v>
      </c>
      <c r="W18" s="173">
        <f>W19+W20+W21+W23+W25</f>
        <v>-92</v>
      </c>
      <c r="X18" s="173">
        <v>-1315</v>
      </c>
      <c r="Y18" s="173">
        <f t="shared" si="1"/>
        <v>-2004</v>
      </c>
      <c r="Z18" s="14"/>
      <c r="AA18" s="175">
        <f>AA19+AA20+AA21+AA22+AA23+AA24+AA25</f>
        <v>83</v>
      </c>
      <c r="AB18" s="173">
        <f>AB19+AB20+AB21+AB22+AB23+AB24+AB25</f>
        <v>625</v>
      </c>
      <c r="AC18" s="173">
        <f>AC19+AC20+AC21+AC22+AC23+AC24+AC25</f>
        <v>-49</v>
      </c>
      <c r="AD18" s="173">
        <f>AD19+AD20+AD21+AD22+AD23+AD24+AD25</f>
        <v>490</v>
      </c>
      <c r="AE18" s="173">
        <f>AE19+AE20+AE21+AE22+AE23+AE24+AE25</f>
        <v>1149</v>
      </c>
      <c r="AG18" s="175">
        <f>AG19+AG20+AG21+AG22+AG23+AG24+AG25</f>
        <v>379</v>
      </c>
      <c r="AH18" s="191">
        <f>AH19+AH20+AH21+AH22+AH23+AH24+AH25</f>
        <v>73</v>
      </c>
      <c r="AI18" s="191">
        <f>AI19+AI20+AI21+AI22+AI23+AI24+AI25</f>
        <v>564</v>
      </c>
      <c r="AJ18" s="191">
        <f>AJ19+AJ20+AJ21+AJ22+AJ23+AJ24+AJ25</f>
        <v>-977</v>
      </c>
      <c r="AK18" s="173">
        <v>39</v>
      </c>
      <c r="AL18" s="273"/>
      <c r="AM18" s="48">
        <v>488</v>
      </c>
      <c r="AN18" s="191">
        <v>-532</v>
      </c>
      <c r="AO18" s="191">
        <f>+AO19+AO20+AO21+AO22+AO23+AO24+AO25</f>
        <v>-223</v>
      </c>
      <c r="AP18" s="173">
        <f>AP19+AP20+AP21+AP22+AP23+AP24+AP25</f>
        <v>-131</v>
      </c>
      <c r="AQ18" s="173">
        <f>AQ19+AQ20+AQ21+AQ22+AQ23+AQ24+AQ25</f>
        <v>-398</v>
      </c>
      <c r="AR18" s="14"/>
      <c r="AS18" s="207">
        <f t="shared" ref="AS18:BA18" si="3">AS19+AS20+AS21+AS22+AS23+AS24+AS25</f>
        <v>368</v>
      </c>
      <c r="AT18" s="233">
        <f t="shared" si="3"/>
        <v>2425</v>
      </c>
      <c r="AU18" s="233">
        <f t="shared" si="3"/>
        <v>404</v>
      </c>
      <c r="AV18" s="207">
        <f t="shared" si="3"/>
        <v>-109</v>
      </c>
      <c r="AW18" s="233">
        <f t="shared" si="3"/>
        <v>3088</v>
      </c>
      <c r="AX18" s="233">
        <f t="shared" si="3"/>
        <v>341</v>
      </c>
      <c r="AY18" s="233">
        <f>AY19+AY20+AY21+AY22+AY23+AY24+AY25</f>
        <v>1052</v>
      </c>
      <c r="AZ18" s="233">
        <f t="shared" si="3"/>
        <v>807</v>
      </c>
      <c r="BA18" s="207">
        <f t="shared" si="3"/>
        <v>-901</v>
      </c>
      <c r="BB18" s="233">
        <f>+BB19+BB20+BB21+BB22+BB23+BB24+BB25</f>
        <v>1299</v>
      </c>
      <c r="BC18" s="207">
        <v>-184</v>
      </c>
      <c r="BD18" s="207">
        <f t="shared" ref="BD18:BI18" si="4">+BD19+BD20+BD21+BD22+BD23+BD24+BD25</f>
        <v>373</v>
      </c>
      <c r="BE18" s="207">
        <f t="shared" si="4"/>
        <v>689</v>
      </c>
      <c r="BF18" s="207">
        <f t="shared" si="4"/>
        <v>-1108</v>
      </c>
      <c r="BG18" s="207">
        <f t="shared" si="4"/>
        <v>-230</v>
      </c>
      <c r="BH18" s="207">
        <f t="shared" si="4"/>
        <v>231</v>
      </c>
      <c r="BI18" s="207">
        <f t="shared" si="4"/>
        <v>347</v>
      </c>
      <c r="BJ18" s="207">
        <f>BJ19+BJ20+BJ21+BJ22+BJ23+BJ24+BJ25</f>
        <v>-611</v>
      </c>
      <c r="BK18" s="207">
        <f>BK19+BK20+BK21+BK22+BK23+BK24+BK25</f>
        <v>1587</v>
      </c>
      <c r="BL18" s="207">
        <f t="shared" si="0"/>
        <v>1554</v>
      </c>
      <c r="BM18" s="207">
        <f>+BM19+BM20+BM21+BM22+BM23+BM24+BM25</f>
        <v>-495</v>
      </c>
      <c r="BN18" s="207">
        <f>+BN19+BN20+BN21+BN22+BN23+BN24+BN25</f>
        <v>-581</v>
      </c>
      <c r="BO18" s="207">
        <v>83</v>
      </c>
      <c r="BP18" s="207">
        <f>+BP19+BP20+BP21+BP22+BP23+BP24+BP25</f>
        <v>1057</v>
      </c>
      <c r="BQ18" s="207">
        <f>+BQ19+BQ20+BQ21+BQ22+BQ23+BQ24+BQ25</f>
        <v>64</v>
      </c>
      <c r="BR18" s="207">
        <v>480</v>
      </c>
      <c r="BS18" s="366">
        <f>+BS19+BS20+BS21+BS22+BS23+BS24+BS25</f>
        <v>1652</v>
      </c>
      <c r="BU18" s="482"/>
    </row>
    <row r="19" spans="1:73" ht="12" customHeight="1">
      <c r="A19" s="492" t="s">
        <v>269</v>
      </c>
      <c r="B19" s="277"/>
      <c r="C19" s="397" t="s">
        <v>15</v>
      </c>
      <c r="D19" s="398" t="s">
        <v>15</v>
      </c>
      <c r="E19" s="398" t="s">
        <v>15</v>
      </c>
      <c r="F19" s="174">
        <v>-32</v>
      </c>
      <c r="G19" s="174">
        <v>-32</v>
      </c>
      <c r="H19" s="277"/>
      <c r="I19" s="397" t="s">
        <v>15</v>
      </c>
      <c r="J19" s="398" t="s">
        <v>15</v>
      </c>
      <c r="K19" s="174">
        <v>-194</v>
      </c>
      <c r="L19" s="174">
        <v>-5074</v>
      </c>
      <c r="M19" s="174">
        <v>-5268</v>
      </c>
      <c r="N19" s="396"/>
      <c r="O19" s="177">
        <v>-57</v>
      </c>
      <c r="P19" s="174">
        <v>0</v>
      </c>
      <c r="Q19" s="174">
        <v>0</v>
      </c>
      <c r="R19" s="174">
        <v>-6140</v>
      </c>
      <c r="S19" s="174">
        <f>SUM(O19:R19)</f>
        <v>-6197</v>
      </c>
      <c r="U19" s="177">
        <v>0</v>
      </c>
      <c r="V19" s="174">
        <v>0</v>
      </c>
      <c r="W19" s="174">
        <v>0</v>
      </c>
      <c r="X19" s="174">
        <v>-936</v>
      </c>
      <c r="Y19" s="174">
        <f t="shared" si="1"/>
        <v>-936</v>
      </c>
      <c r="Z19" s="314"/>
      <c r="AA19" s="177">
        <v>49</v>
      </c>
      <c r="AB19" s="174">
        <v>94</v>
      </c>
      <c r="AC19" s="174">
        <v>18</v>
      </c>
      <c r="AD19" s="174">
        <v>473</v>
      </c>
      <c r="AE19" s="174">
        <v>634</v>
      </c>
      <c r="AG19" s="177">
        <v>95</v>
      </c>
      <c r="AH19" s="217">
        <f>17-10</f>
        <v>7</v>
      </c>
      <c r="AI19" s="217">
        <f>17-20</f>
        <v>-3</v>
      </c>
      <c r="AJ19" s="217">
        <v>-457</v>
      </c>
      <c r="AK19" s="174">
        <v>-358</v>
      </c>
      <c r="AL19" s="278"/>
      <c r="AM19" s="217">
        <f>-176-42</f>
        <v>-218</v>
      </c>
      <c r="AN19" s="217">
        <v>-1</v>
      </c>
      <c r="AO19" s="217">
        <v>25</v>
      </c>
      <c r="AP19" s="174">
        <v>-39</v>
      </c>
      <c r="AQ19" s="174">
        <v>-233</v>
      </c>
      <c r="AR19" s="314"/>
      <c r="AS19" s="206">
        <v>13</v>
      </c>
      <c r="AT19" s="206">
        <v>1500</v>
      </c>
      <c r="AU19" s="206">
        <f>26-3</f>
        <v>23</v>
      </c>
      <c r="AV19" s="206">
        <v>85</v>
      </c>
      <c r="AW19" s="206">
        <v>1621</v>
      </c>
      <c r="AX19" s="206">
        <v>52</v>
      </c>
      <c r="AY19" s="206">
        <v>136</v>
      </c>
      <c r="AZ19" s="206">
        <v>-15</v>
      </c>
      <c r="BA19" s="206">
        <v>27</v>
      </c>
      <c r="BB19" s="206">
        <v>200</v>
      </c>
      <c r="BC19" s="206">
        <v>-4</v>
      </c>
      <c r="BD19" s="206">
        <v>85</v>
      </c>
      <c r="BE19" s="206">
        <v>5</v>
      </c>
      <c r="BF19" s="206">
        <v>-210</v>
      </c>
      <c r="BG19" s="206">
        <v>-124</v>
      </c>
      <c r="BH19" s="206">
        <v>-1</v>
      </c>
      <c r="BI19" s="206">
        <v>20</v>
      </c>
      <c r="BJ19" s="206">
        <v>-28</v>
      </c>
      <c r="BK19" s="206">
        <v>1081</v>
      </c>
      <c r="BL19" s="206">
        <f t="shared" si="0"/>
        <v>1072</v>
      </c>
      <c r="BM19" s="206">
        <v>3</v>
      </c>
      <c r="BN19" s="206">
        <v>-25</v>
      </c>
      <c r="BO19" s="206">
        <v>-1</v>
      </c>
      <c r="BP19" s="206">
        <v>515</v>
      </c>
      <c r="BQ19" s="206">
        <v>492</v>
      </c>
      <c r="BR19" s="206">
        <v>-2</v>
      </c>
      <c r="BS19" s="351">
        <v>86</v>
      </c>
      <c r="BU19" s="482"/>
    </row>
    <row r="20" spans="1:73" ht="22.5" customHeight="1">
      <c r="A20" s="492" t="s">
        <v>270</v>
      </c>
      <c r="B20" s="277"/>
      <c r="C20" s="177">
        <v>-1</v>
      </c>
      <c r="D20" s="174">
        <v>-4</v>
      </c>
      <c r="E20" s="174">
        <v>63</v>
      </c>
      <c r="F20" s="174">
        <v>99</v>
      </c>
      <c r="G20" s="174">
        <v>157</v>
      </c>
      <c r="H20" s="277"/>
      <c r="I20" s="177">
        <v>148</v>
      </c>
      <c r="J20" s="174">
        <v>-96</v>
      </c>
      <c r="K20" s="174">
        <v>8</v>
      </c>
      <c r="L20" s="174">
        <v>99</v>
      </c>
      <c r="M20" s="174">
        <v>159</v>
      </c>
      <c r="N20" s="396"/>
      <c r="O20" s="177">
        <v>-306</v>
      </c>
      <c r="P20" s="174">
        <v>399</v>
      </c>
      <c r="Q20" s="174">
        <v>-256</v>
      </c>
      <c r="R20" s="174">
        <v>645</v>
      </c>
      <c r="S20" s="174">
        <f>SUM(O20:R20)</f>
        <v>482</v>
      </c>
      <c r="U20" s="177">
        <v>-425</v>
      </c>
      <c r="V20" s="174">
        <v>-410</v>
      </c>
      <c r="W20" s="174">
        <v>-64</v>
      </c>
      <c r="X20" s="174">
        <v>-280</v>
      </c>
      <c r="Y20" s="174">
        <f t="shared" si="1"/>
        <v>-1179</v>
      </c>
      <c r="Z20" s="314"/>
      <c r="AA20" s="177">
        <v>-124</v>
      </c>
      <c r="AB20" s="174">
        <v>451</v>
      </c>
      <c r="AC20" s="174">
        <v>-103</v>
      </c>
      <c r="AD20" s="174">
        <v>162</v>
      </c>
      <c r="AE20" s="174">
        <v>386</v>
      </c>
      <c r="AG20" s="177">
        <v>143</v>
      </c>
      <c r="AH20" s="217">
        <v>-127</v>
      </c>
      <c r="AI20" s="217">
        <f>492</f>
        <v>492</v>
      </c>
      <c r="AJ20" s="217">
        <v>-340</v>
      </c>
      <c r="AK20" s="174">
        <v>168</v>
      </c>
      <c r="AL20" s="278"/>
      <c r="AM20" s="40">
        <v>446</v>
      </c>
      <c r="AN20" s="217">
        <v>-420</v>
      </c>
      <c r="AO20" s="217">
        <v>-145</v>
      </c>
      <c r="AP20" s="174">
        <v>-150</v>
      </c>
      <c r="AQ20" s="174">
        <v>-269</v>
      </c>
      <c r="AR20" s="314"/>
      <c r="AS20" s="206">
        <v>358</v>
      </c>
      <c r="AT20" s="206">
        <v>-211</v>
      </c>
      <c r="AU20" s="206">
        <v>229</v>
      </c>
      <c r="AV20" s="206">
        <v>135</v>
      </c>
      <c r="AW20" s="206">
        <v>511</v>
      </c>
      <c r="AX20" s="206">
        <v>219</v>
      </c>
      <c r="AY20" s="206">
        <v>477</v>
      </c>
      <c r="AZ20" s="206">
        <v>600</v>
      </c>
      <c r="BA20" s="206">
        <v>-796</v>
      </c>
      <c r="BB20" s="206">
        <v>500</v>
      </c>
      <c r="BC20" s="206">
        <v>-173</v>
      </c>
      <c r="BD20" s="206">
        <v>-291</v>
      </c>
      <c r="BE20" s="206">
        <v>370</v>
      </c>
      <c r="BF20" s="206">
        <v>-676</v>
      </c>
      <c r="BG20" s="206">
        <v>-770</v>
      </c>
      <c r="BH20" s="206">
        <v>95</v>
      </c>
      <c r="BI20" s="206">
        <v>76</v>
      </c>
      <c r="BJ20" s="206">
        <v>-375</v>
      </c>
      <c r="BK20" s="206">
        <v>514</v>
      </c>
      <c r="BL20" s="206">
        <f t="shared" si="0"/>
        <v>310</v>
      </c>
      <c r="BM20" s="206">
        <v>-386</v>
      </c>
      <c r="BN20" s="206">
        <v>-415</v>
      </c>
      <c r="BO20" s="206">
        <v>6</v>
      </c>
      <c r="BP20" s="206">
        <v>-44</v>
      </c>
      <c r="BQ20" s="206">
        <v>-839</v>
      </c>
      <c r="BR20" s="206">
        <v>172</v>
      </c>
      <c r="BS20" s="351">
        <v>66</v>
      </c>
      <c r="BU20" s="482"/>
    </row>
    <row r="21" spans="1:73" ht="12" customHeight="1">
      <c r="A21" s="492" t="s">
        <v>271</v>
      </c>
      <c r="B21" s="277"/>
      <c r="C21" s="177">
        <v>5</v>
      </c>
      <c r="D21" s="174">
        <v>11</v>
      </c>
      <c r="E21" s="174">
        <v>11</v>
      </c>
      <c r="F21" s="174">
        <v>21</v>
      </c>
      <c r="G21" s="174">
        <v>48</v>
      </c>
      <c r="H21" s="277"/>
      <c r="I21" s="177">
        <v>33</v>
      </c>
      <c r="J21" s="174">
        <v>46</v>
      </c>
      <c r="K21" s="174">
        <v>65</v>
      </c>
      <c r="L21" s="174">
        <v>82</v>
      </c>
      <c r="M21" s="174">
        <v>226</v>
      </c>
      <c r="N21" s="396"/>
      <c r="O21" s="177">
        <v>79</v>
      </c>
      <c r="P21" s="174">
        <v>91</v>
      </c>
      <c r="Q21" s="174">
        <v>84</v>
      </c>
      <c r="R21" s="174">
        <v>122</v>
      </c>
      <c r="S21" s="174">
        <f>SUM(O21:R21)</f>
        <v>376</v>
      </c>
      <c r="U21" s="177">
        <v>96</v>
      </c>
      <c r="V21" s="174">
        <v>85</v>
      </c>
      <c r="W21" s="174">
        <v>64</v>
      </c>
      <c r="X21" s="174">
        <v>55</v>
      </c>
      <c r="Y21" s="174">
        <f t="shared" si="1"/>
        <v>300</v>
      </c>
      <c r="Z21" s="314"/>
      <c r="AA21" s="177">
        <v>0</v>
      </c>
      <c r="AB21" s="174">
        <v>0</v>
      </c>
      <c r="AC21" s="174">
        <v>0</v>
      </c>
      <c r="AD21" s="174">
        <v>0</v>
      </c>
      <c r="AE21" s="174">
        <v>0</v>
      </c>
      <c r="AG21" s="177">
        <v>0</v>
      </c>
      <c r="AH21" s="174">
        <v>0</v>
      </c>
      <c r="AI21" s="174">
        <v>0</v>
      </c>
      <c r="AJ21" s="174">
        <v>0</v>
      </c>
      <c r="AK21" s="174">
        <v>0</v>
      </c>
      <c r="AL21" s="278"/>
      <c r="AM21" s="174">
        <v>0</v>
      </c>
      <c r="AN21" s="174">
        <v>0</v>
      </c>
      <c r="AO21" s="174">
        <v>0</v>
      </c>
      <c r="AP21" s="174">
        <v>0</v>
      </c>
      <c r="AQ21" s="174">
        <v>0</v>
      </c>
      <c r="AR21" s="314"/>
      <c r="AS21" s="177">
        <v>0</v>
      </c>
      <c r="AT21" s="177">
        <v>0</v>
      </c>
      <c r="AU21" s="177">
        <v>0</v>
      </c>
      <c r="AV21" s="177">
        <v>0</v>
      </c>
      <c r="AW21" s="177">
        <v>0</v>
      </c>
      <c r="AX21" s="177">
        <v>0</v>
      </c>
      <c r="AY21" s="177">
        <v>0</v>
      </c>
      <c r="AZ21" s="177">
        <v>0</v>
      </c>
      <c r="BA21" s="177">
        <v>0</v>
      </c>
      <c r="BB21" s="177">
        <v>0</v>
      </c>
      <c r="BC21" s="177">
        <v>0</v>
      </c>
      <c r="BD21" s="177">
        <v>0</v>
      </c>
      <c r="BE21" s="177">
        <v>0</v>
      </c>
      <c r="BF21" s="177">
        <v>0</v>
      </c>
      <c r="BG21" s="177">
        <v>0</v>
      </c>
      <c r="BH21" s="177">
        <v>0</v>
      </c>
      <c r="BI21" s="177">
        <v>0</v>
      </c>
      <c r="BJ21" s="177">
        <v>0</v>
      </c>
      <c r="BK21" s="177">
        <v>0</v>
      </c>
      <c r="BL21" s="177">
        <v>0</v>
      </c>
      <c r="BM21" s="177">
        <v>0</v>
      </c>
      <c r="BN21" s="177">
        <v>0</v>
      </c>
      <c r="BO21" s="177">
        <v>0</v>
      </c>
      <c r="BP21" s="177">
        <v>0</v>
      </c>
      <c r="BQ21" s="177">
        <v>0</v>
      </c>
      <c r="BR21" s="177">
        <v>0</v>
      </c>
      <c r="BS21" s="351">
        <v>0</v>
      </c>
      <c r="BU21" s="482"/>
    </row>
    <row r="22" spans="1:73" ht="12" customHeight="1">
      <c r="A22" s="492" t="s">
        <v>272</v>
      </c>
      <c r="B22" s="277"/>
      <c r="C22" s="177">
        <v>0</v>
      </c>
      <c r="D22" s="174">
        <v>0</v>
      </c>
      <c r="E22" s="174">
        <v>0</v>
      </c>
      <c r="F22" s="174">
        <v>0</v>
      </c>
      <c r="G22" s="174">
        <v>0</v>
      </c>
      <c r="H22" s="277"/>
      <c r="I22" s="177">
        <v>0</v>
      </c>
      <c r="J22" s="174">
        <v>0</v>
      </c>
      <c r="K22" s="174">
        <v>0</v>
      </c>
      <c r="L22" s="174">
        <v>0</v>
      </c>
      <c r="M22" s="174">
        <v>0</v>
      </c>
      <c r="N22" s="396"/>
      <c r="O22" s="177">
        <v>0</v>
      </c>
      <c r="P22" s="174">
        <v>0</v>
      </c>
      <c r="Q22" s="174">
        <v>0</v>
      </c>
      <c r="R22" s="174">
        <v>0</v>
      </c>
      <c r="S22" s="174">
        <v>0</v>
      </c>
      <c r="U22" s="177">
        <v>0</v>
      </c>
      <c r="V22" s="174">
        <v>0</v>
      </c>
      <c r="W22" s="174">
        <v>0</v>
      </c>
      <c r="X22" s="174">
        <v>0</v>
      </c>
      <c r="Y22" s="174">
        <f t="shared" si="1"/>
        <v>0</v>
      </c>
      <c r="Z22" s="314"/>
      <c r="AA22" s="177">
        <v>57</v>
      </c>
      <c r="AB22" s="174">
        <v>69</v>
      </c>
      <c r="AC22" s="174">
        <v>62</v>
      </c>
      <c r="AD22" s="174">
        <v>56</v>
      </c>
      <c r="AE22" s="174">
        <v>244</v>
      </c>
      <c r="AG22" s="177">
        <v>66</v>
      </c>
      <c r="AH22" s="174">
        <v>66</v>
      </c>
      <c r="AI22" s="174">
        <v>80</v>
      </c>
      <c r="AJ22" s="174">
        <v>60</v>
      </c>
      <c r="AK22" s="174">
        <v>272</v>
      </c>
      <c r="AL22" s="278"/>
      <c r="AM22" s="383">
        <v>73</v>
      </c>
      <c r="AN22" s="383">
        <v>68</v>
      </c>
      <c r="AO22" s="383">
        <v>64</v>
      </c>
      <c r="AP22" s="174">
        <v>64</v>
      </c>
      <c r="AQ22" s="383">
        <v>269</v>
      </c>
      <c r="AR22" s="384"/>
      <c r="AS22" s="177">
        <v>67</v>
      </c>
      <c r="AT22" s="177">
        <v>64</v>
      </c>
      <c r="AU22" s="177">
        <v>94</v>
      </c>
      <c r="AV22" s="177">
        <v>79</v>
      </c>
      <c r="AW22" s="177">
        <v>304</v>
      </c>
      <c r="AX22" s="177">
        <v>63</v>
      </c>
      <c r="AY22" s="177">
        <v>94</v>
      </c>
      <c r="AZ22" s="177">
        <v>97</v>
      </c>
      <c r="BA22" s="177">
        <v>94</v>
      </c>
      <c r="BB22" s="177">
        <v>348</v>
      </c>
      <c r="BC22" s="177">
        <v>88</v>
      </c>
      <c r="BD22" s="177">
        <v>90</v>
      </c>
      <c r="BE22" s="177">
        <v>104</v>
      </c>
      <c r="BF22" s="177">
        <v>100</v>
      </c>
      <c r="BG22" s="177">
        <v>382</v>
      </c>
      <c r="BH22" s="177">
        <v>92</v>
      </c>
      <c r="BI22" s="177">
        <v>113</v>
      </c>
      <c r="BJ22" s="177">
        <v>102</v>
      </c>
      <c r="BK22" s="177">
        <v>132</v>
      </c>
      <c r="BL22" s="177">
        <f t="shared" si="0"/>
        <v>439</v>
      </c>
      <c r="BM22" s="177">
        <v>99</v>
      </c>
      <c r="BN22" s="177">
        <v>103</v>
      </c>
      <c r="BO22" s="177">
        <v>86</v>
      </c>
      <c r="BP22" s="177">
        <v>163</v>
      </c>
      <c r="BQ22" s="177">
        <v>451</v>
      </c>
      <c r="BR22" s="177">
        <v>85</v>
      </c>
      <c r="BS22" s="351">
        <v>55</v>
      </c>
      <c r="BU22" s="482"/>
    </row>
    <row r="23" spans="1:73" ht="12" customHeight="1">
      <c r="A23" s="492" t="s">
        <v>113</v>
      </c>
      <c r="B23" s="277"/>
      <c r="C23" s="177">
        <v>-70</v>
      </c>
      <c r="D23" s="174">
        <v>-34</v>
      </c>
      <c r="E23" s="174">
        <v>-5</v>
      </c>
      <c r="F23" s="174">
        <v>-70</v>
      </c>
      <c r="G23" s="174">
        <v>-179</v>
      </c>
      <c r="H23" s="277"/>
      <c r="I23" s="177">
        <v>-252</v>
      </c>
      <c r="J23" s="174">
        <v>59</v>
      </c>
      <c r="K23" s="174">
        <v>27</v>
      </c>
      <c r="L23" s="174">
        <v>-36</v>
      </c>
      <c r="M23" s="174">
        <v>-202</v>
      </c>
      <c r="N23" s="396"/>
      <c r="O23" s="177">
        <v>130</v>
      </c>
      <c r="P23" s="174">
        <v>-186</v>
      </c>
      <c r="Q23" s="174">
        <v>82</v>
      </c>
      <c r="R23" s="174">
        <v>-102</v>
      </c>
      <c r="S23" s="174">
        <f>SUM(O23:R23)</f>
        <v>-76</v>
      </c>
      <c r="U23" s="177">
        <v>70</v>
      </c>
      <c r="V23" s="174">
        <v>-2</v>
      </c>
      <c r="W23" s="174">
        <v>-110</v>
      </c>
      <c r="X23" s="174">
        <v>-171</v>
      </c>
      <c r="Y23" s="174">
        <f t="shared" si="1"/>
        <v>-213</v>
      </c>
      <c r="Z23" s="314"/>
      <c r="AA23" s="177">
        <v>-22</v>
      </c>
      <c r="AB23" s="174">
        <v>-6</v>
      </c>
      <c r="AC23" s="174">
        <v>-59</v>
      </c>
      <c r="AD23" s="174">
        <v>-49</v>
      </c>
      <c r="AE23" s="174">
        <v>-136</v>
      </c>
      <c r="AG23" s="177">
        <v>-19</v>
      </c>
      <c r="AH23" s="217">
        <f>48-57</f>
        <v>-9</v>
      </c>
      <c r="AI23" s="217">
        <f>34-63</f>
        <v>-29</v>
      </c>
      <c r="AJ23" s="217">
        <f>27-92</f>
        <v>-65</v>
      </c>
      <c r="AK23" s="174">
        <v>-122</v>
      </c>
      <c r="AL23" s="278"/>
      <c r="AM23" s="217">
        <v>-89</v>
      </c>
      <c r="AN23" s="217">
        <v>-45</v>
      </c>
      <c r="AO23" s="217">
        <v>-74</v>
      </c>
      <c r="AP23" s="174">
        <v>-32</v>
      </c>
      <c r="AQ23" s="174">
        <v>-240</v>
      </c>
      <c r="AR23" s="314"/>
      <c r="AS23" s="206">
        <v>-180</v>
      </c>
      <c r="AT23" s="206">
        <v>47</v>
      </c>
      <c r="AU23" s="206">
        <f>33-178</f>
        <v>-145</v>
      </c>
      <c r="AV23" s="206">
        <v>-167</v>
      </c>
      <c r="AW23" s="206">
        <v>-445</v>
      </c>
      <c r="AX23" s="206">
        <v>-57</v>
      </c>
      <c r="AY23" s="206">
        <v>64</v>
      </c>
      <c r="AZ23" s="206">
        <v>-102</v>
      </c>
      <c r="BA23" s="206">
        <v>-127</v>
      </c>
      <c r="BB23" s="206">
        <v>-222</v>
      </c>
      <c r="BC23" s="206">
        <v>-13</v>
      </c>
      <c r="BD23" s="206">
        <v>-37</v>
      </c>
      <c r="BE23" s="206">
        <v>-86</v>
      </c>
      <c r="BF23" s="206">
        <v>-132</v>
      </c>
      <c r="BG23" s="206">
        <v>-268</v>
      </c>
      <c r="BH23" s="206">
        <v>-16</v>
      </c>
      <c r="BI23" s="206">
        <v>-11</v>
      </c>
      <c r="BJ23" s="206">
        <v>-9</v>
      </c>
      <c r="BK23" s="206">
        <v>88</v>
      </c>
      <c r="BL23" s="206">
        <f t="shared" si="0"/>
        <v>52</v>
      </c>
      <c r="BM23" s="206">
        <v>-103</v>
      </c>
      <c r="BN23" s="206">
        <v>0</v>
      </c>
      <c r="BO23" s="206">
        <v>-37</v>
      </c>
      <c r="BP23" s="206">
        <v>-120</v>
      </c>
      <c r="BQ23" s="206">
        <v>-260</v>
      </c>
      <c r="BR23" s="206">
        <v>68</v>
      </c>
      <c r="BS23" s="351">
        <v>25</v>
      </c>
      <c r="BU23" s="482"/>
    </row>
    <row r="24" spans="1:73" ht="22.5" customHeight="1">
      <c r="A24" s="492" t="s">
        <v>273</v>
      </c>
      <c r="B24" s="277"/>
      <c r="C24" s="177" t="s">
        <v>28</v>
      </c>
      <c r="D24" s="174" t="s">
        <v>28</v>
      </c>
      <c r="E24" s="174" t="s">
        <v>28</v>
      </c>
      <c r="F24" s="174" t="s">
        <v>28</v>
      </c>
      <c r="G24" s="174" t="s">
        <v>28</v>
      </c>
      <c r="H24" s="277"/>
      <c r="I24" s="177" t="s">
        <v>28</v>
      </c>
      <c r="J24" s="174" t="s">
        <v>28</v>
      </c>
      <c r="K24" s="174" t="s">
        <v>28</v>
      </c>
      <c r="L24" s="174" t="s">
        <v>28</v>
      </c>
      <c r="M24" s="174" t="s">
        <v>28</v>
      </c>
      <c r="N24" s="396"/>
      <c r="O24" s="177" t="s">
        <v>28</v>
      </c>
      <c r="P24" s="174" t="s">
        <v>28</v>
      </c>
      <c r="Q24" s="174" t="s">
        <v>28</v>
      </c>
      <c r="R24" s="174" t="s">
        <v>28</v>
      </c>
      <c r="S24" s="174" t="s">
        <v>28</v>
      </c>
      <c r="U24" s="177" t="s">
        <v>28</v>
      </c>
      <c r="V24" s="174" t="s">
        <v>28</v>
      </c>
      <c r="W24" s="174" t="s">
        <v>28</v>
      </c>
      <c r="X24" s="174" t="s">
        <v>28</v>
      </c>
      <c r="Y24" s="174" t="s">
        <v>28</v>
      </c>
      <c r="Z24" s="314"/>
      <c r="AA24" s="177">
        <v>113</v>
      </c>
      <c r="AB24" s="174">
        <v>-72</v>
      </c>
      <c r="AC24" s="174">
        <v>11</v>
      </c>
      <c r="AD24" s="174">
        <v>-115</v>
      </c>
      <c r="AE24" s="174">
        <v>-63</v>
      </c>
      <c r="AG24" s="177">
        <v>80</v>
      </c>
      <c r="AH24" s="217">
        <f>83-21</f>
        <v>62</v>
      </c>
      <c r="AI24" s="217">
        <f>201-64-80-62</f>
        <v>-5</v>
      </c>
      <c r="AJ24" s="217">
        <f>67-120</f>
        <v>-53</v>
      </c>
      <c r="AK24" s="174">
        <v>84</v>
      </c>
      <c r="AL24" s="278"/>
      <c r="AM24" s="40">
        <v>287</v>
      </c>
      <c r="AN24" s="217">
        <v>-175</v>
      </c>
      <c r="AO24" s="217">
        <v>-99</v>
      </c>
      <c r="AP24" s="174">
        <v>-33</v>
      </c>
      <c r="AQ24" s="174">
        <v>-20</v>
      </c>
      <c r="AR24" s="314"/>
      <c r="AS24" s="206">
        <v>70</v>
      </c>
      <c r="AT24" s="206">
        <v>989</v>
      </c>
      <c r="AU24" s="206">
        <f>175-5</f>
        <v>170</v>
      </c>
      <c r="AV24" s="206">
        <v>-222</v>
      </c>
      <c r="AW24" s="206">
        <v>1007</v>
      </c>
      <c r="AX24" s="206">
        <v>20</v>
      </c>
      <c r="AY24" s="206">
        <v>313</v>
      </c>
      <c r="AZ24" s="206">
        <v>392</v>
      </c>
      <c r="BA24" s="206">
        <v>-181</v>
      </c>
      <c r="BB24" s="206">
        <v>544</v>
      </c>
      <c r="BC24" s="206">
        <v>-53</v>
      </c>
      <c r="BD24" s="206">
        <v>544</v>
      </c>
      <c r="BE24" s="206">
        <v>306</v>
      </c>
      <c r="BF24" s="206">
        <v>-352</v>
      </c>
      <c r="BG24" s="206">
        <v>445</v>
      </c>
      <c r="BH24" s="206">
        <v>93</v>
      </c>
      <c r="BI24" s="206">
        <v>177</v>
      </c>
      <c r="BJ24" s="206">
        <v>-253</v>
      </c>
      <c r="BK24" s="206">
        <v>-135</v>
      </c>
      <c r="BL24" s="206">
        <f t="shared" si="0"/>
        <v>-118</v>
      </c>
      <c r="BM24" s="206">
        <v>-90</v>
      </c>
      <c r="BN24" s="206">
        <v>-267</v>
      </c>
      <c r="BO24" s="206">
        <v>60</v>
      </c>
      <c r="BP24" s="206">
        <v>452</v>
      </c>
      <c r="BQ24" s="206">
        <v>155</v>
      </c>
      <c r="BR24" s="206">
        <v>98</v>
      </c>
      <c r="BS24" s="351">
        <v>1380</v>
      </c>
      <c r="BU24" s="482"/>
    </row>
    <row r="25" spans="1:73" ht="12" customHeight="1">
      <c r="A25" s="492" t="s">
        <v>114</v>
      </c>
      <c r="B25" s="277"/>
      <c r="C25" s="177">
        <v>8</v>
      </c>
      <c r="D25" s="174">
        <v>31</v>
      </c>
      <c r="E25" s="174">
        <v>-18</v>
      </c>
      <c r="F25" s="174">
        <v>17</v>
      </c>
      <c r="G25" s="174">
        <v>38</v>
      </c>
      <c r="H25" s="277"/>
      <c r="I25" s="177">
        <v>-8</v>
      </c>
      <c r="J25" s="174">
        <v>58</v>
      </c>
      <c r="K25" s="174">
        <v>-1</v>
      </c>
      <c r="L25" s="174">
        <v>-28</v>
      </c>
      <c r="M25" s="174">
        <v>21</v>
      </c>
      <c r="N25" s="396"/>
      <c r="O25" s="177">
        <v>-8</v>
      </c>
      <c r="P25" s="174">
        <v>19</v>
      </c>
      <c r="Q25" s="174">
        <v>9</v>
      </c>
      <c r="R25" s="174">
        <v>-34</v>
      </c>
      <c r="S25" s="174">
        <f>SUM(O25:R25)</f>
        <v>-14</v>
      </c>
      <c r="U25" s="177">
        <v>-11</v>
      </c>
      <c r="V25" s="174">
        <v>0</v>
      </c>
      <c r="W25" s="174">
        <v>18</v>
      </c>
      <c r="X25" s="174">
        <v>17</v>
      </c>
      <c r="Y25" s="174">
        <f t="shared" si="1"/>
        <v>24</v>
      </c>
      <c r="Z25" s="314"/>
      <c r="AA25" s="177">
        <f>175-49-3-113</f>
        <v>10</v>
      </c>
      <c r="AB25" s="174">
        <v>89</v>
      </c>
      <c r="AC25" s="174">
        <v>22</v>
      </c>
      <c r="AD25" s="174">
        <v>-37</v>
      </c>
      <c r="AE25" s="174">
        <v>84</v>
      </c>
      <c r="AG25" s="177">
        <v>14</v>
      </c>
      <c r="AH25" s="217">
        <f>9+37+49-21</f>
        <v>74</v>
      </c>
      <c r="AI25" s="217">
        <f>22+6+25-5-19</f>
        <v>29</v>
      </c>
      <c r="AJ25" s="217">
        <v>-122</v>
      </c>
      <c r="AK25" s="174">
        <v>-5</v>
      </c>
      <c r="AL25" s="278"/>
      <c r="AM25" s="217">
        <f>-53+42</f>
        <v>-11</v>
      </c>
      <c r="AN25" s="217">
        <v>41</v>
      </c>
      <c r="AO25" s="217">
        <v>6</v>
      </c>
      <c r="AP25" s="174">
        <v>59</v>
      </c>
      <c r="AQ25" s="174">
        <v>95</v>
      </c>
      <c r="AR25" s="314"/>
      <c r="AS25" s="206">
        <v>40</v>
      </c>
      <c r="AT25" s="206">
        <v>36</v>
      </c>
      <c r="AU25" s="206">
        <f>6+5+58-16-9-11</f>
        <v>33</v>
      </c>
      <c r="AV25" s="206">
        <v>-19</v>
      </c>
      <c r="AW25" s="206">
        <v>90</v>
      </c>
      <c r="AX25" s="206">
        <v>44</v>
      </c>
      <c r="AY25" s="206">
        <v>-32</v>
      </c>
      <c r="AZ25" s="206">
        <v>-165</v>
      </c>
      <c r="BA25" s="206">
        <v>82</v>
      </c>
      <c r="BB25" s="206">
        <f>+BA25+AZ25+AY25+AX25</f>
        <v>-71</v>
      </c>
      <c r="BC25" s="206">
        <v>-29</v>
      </c>
      <c r="BD25" s="206">
        <v>-18</v>
      </c>
      <c r="BE25" s="206">
        <v>-10</v>
      </c>
      <c r="BF25" s="206">
        <v>162</v>
      </c>
      <c r="BG25" s="206">
        <v>105</v>
      </c>
      <c r="BH25" s="206">
        <v>-32</v>
      </c>
      <c r="BI25" s="206">
        <v>-28</v>
      </c>
      <c r="BJ25" s="206">
        <v>-48</v>
      </c>
      <c r="BK25" s="206">
        <v>-93</v>
      </c>
      <c r="BL25" s="206">
        <f t="shared" si="0"/>
        <v>-201</v>
      </c>
      <c r="BM25" s="206">
        <v>-18</v>
      </c>
      <c r="BN25" s="206">
        <v>23</v>
      </c>
      <c r="BO25" s="206">
        <v>-31</v>
      </c>
      <c r="BP25" s="206">
        <v>91</v>
      </c>
      <c r="BQ25" s="206">
        <v>65</v>
      </c>
      <c r="BR25" s="206">
        <v>59</v>
      </c>
      <c r="BS25" s="351">
        <v>40</v>
      </c>
      <c r="BU25" s="482"/>
    </row>
    <row r="26" spans="1:73" s="275" customFormat="1" ht="12" customHeight="1">
      <c r="A26" s="489" t="s">
        <v>115</v>
      </c>
      <c r="B26" s="272"/>
      <c r="C26" s="175">
        <v>-6</v>
      </c>
      <c r="D26" s="173">
        <f>-15-C26</f>
        <v>-9</v>
      </c>
      <c r="E26" s="173">
        <v>-81</v>
      </c>
      <c r="F26" s="173">
        <f>G26+96</f>
        <v>-87</v>
      </c>
      <c r="G26" s="173">
        <v>-183</v>
      </c>
      <c r="H26" s="272"/>
      <c r="I26" s="175">
        <v>-85</v>
      </c>
      <c r="J26" s="173">
        <f>-42-I26</f>
        <v>43</v>
      </c>
      <c r="K26" s="173">
        <v>-46</v>
      </c>
      <c r="L26" s="173">
        <v>-70</v>
      </c>
      <c r="M26" s="173">
        <f>SUM(I26:L26)</f>
        <v>-158</v>
      </c>
      <c r="N26" s="393"/>
      <c r="O26" s="175">
        <v>235</v>
      </c>
      <c r="P26" s="173">
        <f>-141-O26</f>
        <v>-376</v>
      </c>
      <c r="Q26" s="173">
        <v>199</v>
      </c>
      <c r="R26" s="173">
        <v>-599</v>
      </c>
      <c r="S26" s="173">
        <v>-541</v>
      </c>
      <c r="U26" s="175">
        <f>U27+U28+U30+U31+U32</f>
        <v>309</v>
      </c>
      <c r="V26" s="173">
        <f>V27+V28+V30+V31+V32</f>
        <v>382</v>
      </c>
      <c r="W26" s="173">
        <f>W27+W28+W30+W31+W32</f>
        <v>53</v>
      </c>
      <c r="X26" s="173">
        <v>289</v>
      </c>
      <c r="Y26" s="173">
        <f t="shared" si="1"/>
        <v>1033</v>
      </c>
      <c r="Z26" s="14"/>
      <c r="AA26" s="175">
        <f>AA27+AA28+AA30+AA31+AA32</f>
        <v>124</v>
      </c>
      <c r="AB26" s="173">
        <f>AB27+AB28+AB30+AB31+AB32</f>
        <v>-720</v>
      </c>
      <c r="AC26" s="173">
        <f>AC27+AC28+AC30+AC31+AC32</f>
        <v>97</v>
      </c>
      <c r="AD26" s="173">
        <f>AD27+AD28+AD30+AD31+AD32</f>
        <v>-275</v>
      </c>
      <c r="AE26" s="173">
        <f>AE27+AE28+AE30+AE31+AE32</f>
        <v>-774</v>
      </c>
      <c r="AG26" s="175">
        <f>AG27+AG28+AG30+AG31+AG32</f>
        <v>-173</v>
      </c>
      <c r="AH26" s="191">
        <f>AH27+AH28+AH30+AH31+AH32</f>
        <v>100</v>
      </c>
      <c r="AI26" s="191">
        <f>AI27+AI28+AI30+AI31+AI32</f>
        <v>-548</v>
      </c>
      <c r="AJ26" s="191">
        <f>AJ27+AJ28+AJ30+AJ31+AJ32+AJ29</f>
        <v>117</v>
      </c>
      <c r="AK26" s="173">
        <v>-504</v>
      </c>
      <c r="AL26" s="273"/>
      <c r="AM26" s="191">
        <v>-496</v>
      </c>
      <c r="AN26" s="191">
        <v>345</v>
      </c>
      <c r="AO26" s="191">
        <f>+AO27+AO28+AO30+AO31+AO32+AO29</f>
        <v>89</v>
      </c>
      <c r="AP26" s="173">
        <f>AP27+AP28+AP30+AP31+AP32+AP29</f>
        <v>62</v>
      </c>
      <c r="AQ26" s="173">
        <f>AQ27+AQ28+AQ30+AQ31+AQ32+AQ29</f>
        <v>0</v>
      </c>
      <c r="AR26" s="14"/>
      <c r="AS26" s="207">
        <f>AS27+AS28+AS30+AS31++AS32+AS29</f>
        <v>-302</v>
      </c>
      <c r="AT26" s="233">
        <f>AT27+AT28+AT30+AT31++AT32+AT29</f>
        <v>93</v>
      </c>
      <c r="AU26" s="207">
        <f>AU27+AU28+AU30+AU31+AU32+AU29</f>
        <v>-168</v>
      </c>
      <c r="AV26" s="207">
        <f>AV27+AV28+AV30+AV31+AV32+AV29</f>
        <v>-99</v>
      </c>
      <c r="AW26" s="207">
        <f>AW27+AW28+AW30+AW31+AW32+AW29</f>
        <v>-476</v>
      </c>
      <c r="AX26" s="207">
        <f>AX27+AX28+AX30+AX31+AX32</f>
        <v>-105</v>
      </c>
      <c r="AY26" s="207">
        <f>AY27+AY28+AY30+AY31+AY32</f>
        <v>-256</v>
      </c>
      <c r="AZ26" s="207">
        <f>AZ27+AZ28+AZ30+AZ31+AZ32</f>
        <v>-355</v>
      </c>
      <c r="BA26" s="207">
        <f>BA27+BA28+BA30+BA31+BA32</f>
        <v>447</v>
      </c>
      <c r="BB26" s="207">
        <f>BB27+BB28+BB30+BB31+BB32</f>
        <v>-269</v>
      </c>
      <c r="BC26" s="207">
        <v>56</v>
      </c>
      <c r="BD26" s="207">
        <f t="shared" ref="BD26:BI26" si="5">+BD27+BD28+BD30+BD31+BD32+BD29</f>
        <v>117</v>
      </c>
      <c r="BE26" s="207">
        <f t="shared" si="5"/>
        <v>-298</v>
      </c>
      <c r="BF26" s="207">
        <f t="shared" si="5"/>
        <v>245</v>
      </c>
      <c r="BG26" s="207">
        <f t="shared" si="5"/>
        <v>120</v>
      </c>
      <c r="BH26" s="207">
        <f t="shared" si="5"/>
        <v>-122</v>
      </c>
      <c r="BI26" s="207">
        <f t="shared" si="5"/>
        <v>-109</v>
      </c>
      <c r="BJ26" s="207">
        <f>BJ27+BJ28+BJ29+BJ30+BJ31+BJ32</f>
        <v>57</v>
      </c>
      <c r="BK26" s="207">
        <f>BK27+BK28+BK29+BK30+BK31+BK32</f>
        <v>-251</v>
      </c>
      <c r="BL26" s="207">
        <f t="shared" si="0"/>
        <v>-425</v>
      </c>
      <c r="BM26" s="207">
        <f>+BM27+BM28+BM29+BM30+BM31+BM32</f>
        <v>80</v>
      </c>
      <c r="BN26" s="207">
        <f>+BN27+BN28+BN29+BN30+BN31+BN32</f>
        <v>89</v>
      </c>
      <c r="BO26" s="207">
        <v>-59</v>
      </c>
      <c r="BP26" s="207">
        <f>+BP27+BP28+BP29+BP30+BP31+BP32</f>
        <v>50</v>
      </c>
      <c r="BQ26" s="207">
        <f>+BQ27+BQ28+BQ29+BQ30+BQ31+BQ32</f>
        <v>160</v>
      </c>
      <c r="BR26" s="207">
        <v>-119</v>
      </c>
      <c r="BS26" s="366">
        <f>+BS27+BS28+BS29+BS30+BS31+BS32</f>
        <v>-36</v>
      </c>
      <c r="BU26" s="482"/>
    </row>
    <row r="27" spans="1:73" ht="12" customHeight="1">
      <c r="A27" s="492" t="s">
        <v>119</v>
      </c>
      <c r="B27" s="277"/>
      <c r="C27" s="397">
        <v>5</v>
      </c>
      <c r="D27" s="398">
        <v>3</v>
      </c>
      <c r="E27" s="174">
        <v>-69</v>
      </c>
      <c r="F27" s="174">
        <v>-63</v>
      </c>
      <c r="G27" s="174">
        <v>-124</v>
      </c>
      <c r="H27" s="277"/>
      <c r="I27" s="177">
        <v>-62</v>
      </c>
      <c r="J27" s="174">
        <v>74</v>
      </c>
      <c r="K27" s="174">
        <v>3</v>
      </c>
      <c r="L27" s="174">
        <v>-44</v>
      </c>
      <c r="M27" s="174">
        <v>-29</v>
      </c>
      <c r="N27" s="396"/>
      <c r="O27" s="177">
        <v>276</v>
      </c>
      <c r="P27" s="174">
        <v>-344</v>
      </c>
      <c r="Q27" s="174">
        <v>246</v>
      </c>
      <c r="R27" s="174">
        <v>-576</v>
      </c>
      <c r="S27" s="174">
        <f>SUM(O27:R27)</f>
        <v>-398</v>
      </c>
      <c r="U27" s="177">
        <v>369</v>
      </c>
      <c r="V27" s="174">
        <v>443</v>
      </c>
      <c r="W27" s="174">
        <v>101</v>
      </c>
      <c r="X27" s="174">
        <v>334</v>
      </c>
      <c r="Y27" s="174">
        <f t="shared" si="1"/>
        <v>1247</v>
      </c>
      <c r="Z27" s="314"/>
      <c r="AA27" s="177">
        <v>150</v>
      </c>
      <c r="AB27" s="174">
        <v>-681</v>
      </c>
      <c r="AC27" s="174">
        <v>145</v>
      </c>
      <c r="AD27" s="174">
        <v>-206</v>
      </c>
      <c r="AE27" s="174">
        <v>-592</v>
      </c>
      <c r="AG27" s="177">
        <v>-107</v>
      </c>
      <c r="AH27" s="217">
        <f>165</f>
        <v>165</v>
      </c>
      <c r="AI27" s="217">
        <v>-532</v>
      </c>
      <c r="AJ27" s="217">
        <v>265</v>
      </c>
      <c r="AK27" s="174">
        <v>-209</v>
      </c>
      <c r="AL27" s="278"/>
      <c r="AM27" s="217">
        <v>-437</v>
      </c>
      <c r="AN27" s="217">
        <v>401</v>
      </c>
      <c r="AO27" s="217">
        <v>117</v>
      </c>
      <c r="AP27" s="174">
        <f>AQ27-AM27-AN27-AO27</f>
        <v>109</v>
      </c>
      <c r="AQ27" s="174">
        <v>190</v>
      </c>
      <c r="AR27" s="314"/>
      <c r="AS27" s="206">
        <v>-273</v>
      </c>
      <c r="AT27" s="206">
        <v>135</v>
      </c>
      <c r="AU27" s="206">
        <v>-146</v>
      </c>
      <c r="AV27" s="206">
        <v>-54</v>
      </c>
      <c r="AW27" s="206">
        <v>-338</v>
      </c>
      <c r="AX27" s="206">
        <v>-78</v>
      </c>
      <c r="AY27" s="206">
        <v>-223</v>
      </c>
      <c r="AZ27" s="206">
        <v>-315</v>
      </c>
      <c r="BA27" s="206">
        <v>436</v>
      </c>
      <c r="BB27" s="206">
        <f>+BA27+AZ27+AY27+AX27</f>
        <v>-180</v>
      </c>
      <c r="BC27" s="206">
        <v>94</v>
      </c>
      <c r="BD27" s="206">
        <v>141</v>
      </c>
      <c r="BE27" s="206">
        <v>-184</v>
      </c>
      <c r="BF27" s="206">
        <v>307</v>
      </c>
      <c r="BG27" s="206">
        <v>358</v>
      </c>
      <c r="BH27" s="206">
        <v>-34</v>
      </c>
      <c r="BI27" s="206">
        <v>-26</v>
      </c>
      <c r="BJ27" s="206">
        <v>99</v>
      </c>
      <c r="BK27" s="206">
        <v>-162</v>
      </c>
      <c r="BL27" s="206">
        <f t="shared" si="0"/>
        <v>-123</v>
      </c>
      <c r="BM27" s="206">
        <v>152</v>
      </c>
      <c r="BN27" s="206">
        <v>152</v>
      </c>
      <c r="BO27" s="206">
        <v>-2</v>
      </c>
      <c r="BP27" s="206">
        <v>16</v>
      </c>
      <c r="BQ27" s="206">
        <v>318</v>
      </c>
      <c r="BR27" s="206">
        <v>-79</v>
      </c>
      <c r="BS27" s="351">
        <v>-4</v>
      </c>
      <c r="BU27" s="482"/>
    </row>
    <row r="28" spans="1:73" ht="12" customHeight="1">
      <c r="A28" s="492" t="s">
        <v>117</v>
      </c>
      <c r="B28" s="277"/>
      <c r="C28" s="177">
        <v>-2</v>
      </c>
      <c r="D28" s="174">
        <v>-1</v>
      </c>
      <c r="E28" s="174">
        <v>-2</v>
      </c>
      <c r="F28" s="174">
        <v>-3</v>
      </c>
      <c r="G28" s="174">
        <v>-8</v>
      </c>
      <c r="H28" s="277"/>
      <c r="I28" s="177">
        <v>-3</v>
      </c>
      <c r="J28" s="174">
        <v>-8</v>
      </c>
      <c r="K28" s="174">
        <v>-9</v>
      </c>
      <c r="L28" s="174">
        <v>-11</v>
      </c>
      <c r="M28" s="174">
        <v>-31</v>
      </c>
      <c r="N28" s="396"/>
      <c r="O28" s="177">
        <v>-12</v>
      </c>
      <c r="P28" s="174">
        <v>-15</v>
      </c>
      <c r="Q28" s="174">
        <v>-16</v>
      </c>
      <c r="R28" s="174">
        <v>-33</v>
      </c>
      <c r="S28" s="174">
        <f>SUM(O28:R28)</f>
        <v>-76</v>
      </c>
      <c r="U28" s="177">
        <v>-29</v>
      </c>
      <c r="V28" s="174">
        <v>-29</v>
      </c>
      <c r="W28" s="174">
        <v>-28</v>
      </c>
      <c r="X28" s="174">
        <v>-27</v>
      </c>
      <c r="Y28" s="174">
        <f t="shared" si="1"/>
        <v>-113</v>
      </c>
      <c r="Z28" s="314"/>
      <c r="AA28" s="177">
        <v>-24</v>
      </c>
      <c r="AB28" s="174">
        <v>-34</v>
      </c>
      <c r="AC28" s="174">
        <v>-32</v>
      </c>
      <c r="AD28" s="174">
        <v>-37</v>
      </c>
      <c r="AE28" s="174">
        <v>-127</v>
      </c>
      <c r="AG28" s="177">
        <v>-37</v>
      </c>
      <c r="AH28" s="217">
        <v>-43</v>
      </c>
      <c r="AI28" s="217">
        <v>5</v>
      </c>
      <c r="AJ28" s="217">
        <f>-108+1</f>
        <v>-107</v>
      </c>
      <c r="AK28" s="174">
        <f>-183+1</f>
        <v>-182</v>
      </c>
      <c r="AL28" s="278"/>
      <c r="AM28" s="217">
        <f>-41+4</f>
        <v>-37</v>
      </c>
      <c r="AN28" s="217">
        <f>-48+2</f>
        <v>-46</v>
      </c>
      <c r="AO28" s="217">
        <f>-22+3</f>
        <v>-19</v>
      </c>
      <c r="AP28" s="174">
        <f>AQ28-AM28-AN28-AO28</f>
        <v>-34</v>
      </c>
      <c r="AQ28" s="174">
        <f>-148+12</f>
        <v>-136</v>
      </c>
      <c r="AR28" s="314"/>
      <c r="AS28" s="206">
        <f>-18+3</f>
        <v>-15</v>
      </c>
      <c r="AT28" s="206">
        <f>-30+3</f>
        <v>-27</v>
      </c>
      <c r="AU28" s="206">
        <f>-14+1</f>
        <v>-13</v>
      </c>
      <c r="AV28" s="206">
        <f>-30+1</f>
        <v>-29</v>
      </c>
      <c r="AW28" s="206">
        <f>-92+8</f>
        <v>-84</v>
      </c>
      <c r="AX28" s="206">
        <v>-15</v>
      </c>
      <c r="AY28" s="206">
        <v>-20</v>
      </c>
      <c r="AZ28" s="206">
        <v>-30</v>
      </c>
      <c r="BA28" s="206">
        <f>BB28-AZ28-AY28-AX28</f>
        <v>17</v>
      </c>
      <c r="BB28" s="206">
        <v>-48</v>
      </c>
      <c r="BC28" s="206">
        <v>-28</v>
      </c>
      <c r="BD28" s="206">
        <f>-7+6</f>
        <v>-1</v>
      </c>
      <c r="BE28" s="206">
        <f>-57+29</f>
        <v>-28</v>
      </c>
      <c r="BF28" s="206">
        <f>-50+40</f>
        <v>-10</v>
      </c>
      <c r="BG28" s="206">
        <f>-142+75</f>
        <v>-67</v>
      </c>
      <c r="BH28" s="206">
        <f>-63+36</f>
        <v>-27</v>
      </c>
      <c r="BI28" s="206">
        <v>-6</v>
      </c>
      <c r="BJ28" s="206">
        <v>-23</v>
      </c>
      <c r="BK28" s="206">
        <v>-14</v>
      </c>
      <c r="BL28" s="206">
        <f t="shared" si="0"/>
        <v>-70</v>
      </c>
      <c r="BM28" s="206">
        <v>-23</v>
      </c>
      <c r="BN28" s="206">
        <v>-3</v>
      </c>
      <c r="BO28" s="206">
        <v>-9</v>
      </c>
      <c r="BP28" s="206">
        <v>6</v>
      </c>
      <c r="BQ28" s="206">
        <v>-29</v>
      </c>
      <c r="BR28" s="206">
        <v>-4</v>
      </c>
      <c r="BS28" s="351">
        <v>-3</v>
      </c>
      <c r="BU28" s="482"/>
    </row>
    <row r="29" spans="1:73" s="51" customFormat="1" ht="12" customHeight="1">
      <c r="A29" s="495" t="s">
        <v>274</v>
      </c>
      <c r="B29" s="337"/>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217">
        <v>-1</v>
      </c>
      <c r="AK29" s="217">
        <v>-1</v>
      </c>
      <c r="AL29" s="333"/>
      <c r="AM29" s="217">
        <v>-4</v>
      </c>
      <c r="AN29" s="217">
        <v>-2</v>
      </c>
      <c r="AO29" s="217">
        <v>-3</v>
      </c>
      <c r="AP29" s="217">
        <v>-3</v>
      </c>
      <c r="AQ29" s="217">
        <v>-12</v>
      </c>
      <c r="AR29" s="316"/>
      <c r="AS29" s="206">
        <v>-3</v>
      </c>
      <c r="AT29" s="206">
        <v>-3</v>
      </c>
      <c r="AU29" s="206">
        <v>-1</v>
      </c>
      <c r="AV29" s="206">
        <v>-1</v>
      </c>
      <c r="AW29" s="206">
        <v>-8</v>
      </c>
      <c r="AX29" s="206">
        <v>0</v>
      </c>
      <c r="AY29" s="206">
        <v>0</v>
      </c>
      <c r="AZ29" s="206">
        <v>0</v>
      </c>
      <c r="BA29" s="206">
        <v>0</v>
      </c>
      <c r="BB29" s="206">
        <v>0</v>
      </c>
      <c r="BC29" s="206">
        <v>0</v>
      </c>
      <c r="BD29" s="206">
        <v>-6</v>
      </c>
      <c r="BE29" s="206">
        <v>-29</v>
      </c>
      <c r="BF29" s="206">
        <v>-40</v>
      </c>
      <c r="BG29" s="206">
        <v>-75</v>
      </c>
      <c r="BH29" s="206">
        <v>-36</v>
      </c>
      <c r="BI29" s="206">
        <v>-44</v>
      </c>
      <c r="BJ29" s="206">
        <v>-26</v>
      </c>
      <c r="BK29" s="206">
        <v>-44</v>
      </c>
      <c r="BL29" s="206">
        <f t="shared" si="0"/>
        <v>-150</v>
      </c>
      <c r="BM29" s="206">
        <v>-22</v>
      </c>
      <c r="BN29" s="206">
        <v>-33</v>
      </c>
      <c r="BO29" s="206">
        <v>-22</v>
      </c>
      <c r="BP29" s="206">
        <v>-17</v>
      </c>
      <c r="BQ29" s="206">
        <v>-94</v>
      </c>
      <c r="BR29" s="206">
        <v>-12</v>
      </c>
      <c r="BS29" s="351">
        <v>-3</v>
      </c>
      <c r="BU29" s="482"/>
    </row>
    <row r="30" spans="1:73" ht="12" customHeight="1">
      <c r="A30" s="492" t="s">
        <v>275</v>
      </c>
      <c r="B30" s="337"/>
      <c r="C30" s="25" t="s">
        <v>15</v>
      </c>
      <c r="D30" s="26">
        <v>-1</v>
      </c>
      <c r="E30" s="26" t="s">
        <v>15</v>
      </c>
      <c r="F30" s="26">
        <v>-13</v>
      </c>
      <c r="G30" s="217">
        <v>-14</v>
      </c>
      <c r="H30" s="277"/>
      <c r="I30" s="177">
        <v>-11</v>
      </c>
      <c r="J30" s="174">
        <v>-11</v>
      </c>
      <c r="K30" s="174">
        <v>-19</v>
      </c>
      <c r="L30" s="174">
        <v>-7</v>
      </c>
      <c r="M30" s="174">
        <v>-48</v>
      </c>
      <c r="N30" s="396"/>
      <c r="O30" s="177">
        <v>-10</v>
      </c>
      <c r="P30" s="174">
        <v>-7</v>
      </c>
      <c r="Q30" s="174">
        <v>-20</v>
      </c>
      <c r="R30" s="174">
        <v>-8</v>
      </c>
      <c r="S30" s="174">
        <f>SUM(O30:R30)</f>
        <v>-45</v>
      </c>
      <c r="U30" s="177">
        <v>-7</v>
      </c>
      <c r="V30" s="174">
        <v>-7</v>
      </c>
      <c r="W30" s="174">
        <v>-6</v>
      </c>
      <c r="X30" s="174">
        <v>-8</v>
      </c>
      <c r="Y30" s="174">
        <f t="shared" si="1"/>
        <v>-28</v>
      </c>
      <c r="Z30" s="314"/>
      <c r="AA30" s="177">
        <v>-6</v>
      </c>
      <c r="AB30" s="174">
        <v>-6</v>
      </c>
      <c r="AC30" s="174">
        <v>-6</v>
      </c>
      <c r="AD30" s="174">
        <v>-5</v>
      </c>
      <c r="AE30" s="174">
        <v>-23</v>
      </c>
      <c r="AG30" s="177">
        <v>-6</v>
      </c>
      <c r="AH30" s="217">
        <v>-7</v>
      </c>
      <c r="AI30" s="217">
        <v>-10</v>
      </c>
      <c r="AJ30" s="217">
        <v>-26</v>
      </c>
      <c r="AK30" s="174">
        <v>-49</v>
      </c>
      <c r="AL30" s="278"/>
      <c r="AM30" s="217">
        <v>-6</v>
      </c>
      <c r="AN30" s="217">
        <v>-10</v>
      </c>
      <c r="AO30" s="217">
        <v>-5</v>
      </c>
      <c r="AP30" s="174">
        <f>AQ30-AM30-AN30-AO30</f>
        <v>-6</v>
      </c>
      <c r="AQ30" s="174">
        <v>-27</v>
      </c>
      <c r="AR30" s="314"/>
      <c r="AS30" s="206">
        <v>-9</v>
      </c>
      <c r="AT30" s="206">
        <v>-6</v>
      </c>
      <c r="AU30" s="206">
        <v>-6</v>
      </c>
      <c r="AV30" s="206">
        <v>-7</v>
      </c>
      <c r="AW30" s="206">
        <v>-28</v>
      </c>
      <c r="AX30" s="206">
        <v>-10</v>
      </c>
      <c r="AY30" s="206">
        <v>-7</v>
      </c>
      <c r="AZ30" s="206">
        <v>-7</v>
      </c>
      <c r="BA30" s="206">
        <f>BB30-AZ30-AY30-AX30</f>
        <v>-6</v>
      </c>
      <c r="BB30" s="206">
        <v>-30</v>
      </c>
      <c r="BC30" s="206">
        <v>-7</v>
      </c>
      <c r="BD30" s="206">
        <v>-6</v>
      </c>
      <c r="BE30" s="206">
        <v>-7</v>
      </c>
      <c r="BF30" s="206">
        <v>-6</v>
      </c>
      <c r="BG30" s="206">
        <v>-26</v>
      </c>
      <c r="BH30" s="206">
        <v>-6</v>
      </c>
      <c r="BI30" s="206">
        <v>-7</v>
      </c>
      <c r="BJ30" s="206">
        <v>-6</v>
      </c>
      <c r="BK30" s="206">
        <v>-7</v>
      </c>
      <c r="BL30" s="206">
        <f t="shared" si="0"/>
        <v>-26</v>
      </c>
      <c r="BM30" s="206">
        <v>-6</v>
      </c>
      <c r="BN30" s="206">
        <v>-6</v>
      </c>
      <c r="BO30" s="206">
        <v>-6</v>
      </c>
      <c r="BP30" s="206">
        <v>-5</v>
      </c>
      <c r="BQ30" s="206">
        <v>-23</v>
      </c>
      <c r="BR30" s="206">
        <v>-5</v>
      </c>
      <c r="BS30" s="351">
        <v>-5</v>
      </c>
      <c r="BU30" s="482"/>
    </row>
    <row r="31" spans="1:73" ht="12" customHeight="1">
      <c r="A31" s="495" t="s">
        <v>113</v>
      </c>
      <c r="B31" s="277"/>
      <c r="C31" s="397" t="s">
        <v>15</v>
      </c>
      <c r="D31" s="398" t="s">
        <v>15</v>
      </c>
      <c r="E31" s="398" t="s">
        <v>15</v>
      </c>
      <c r="F31" s="398" t="s">
        <v>15</v>
      </c>
      <c r="G31" s="174">
        <v>0</v>
      </c>
      <c r="H31" s="277"/>
      <c r="I31" s="397">
        <v>0</v>
      </c>
      <c r="J31" s="174">
        <v>-2</v>
      </c>
      <c r="K31" s="174">
        <v>-11</v>
      </c>
      <c r="L31" s="174">
        <v>1</v>
      </c>
      <c r="M31" s="174">
        <v>-12</v>
      </c>
      <c r="N31" s="396"/>
      <c r="O31" s="177">
        <v>-8</v>
      </c>
      <c r="P31" s="174">
        <v>-2</v>
      </c>
      <c r="Q31" s="174">
        <v>-1</v>
      </c>
      <c r="R31" s="174">
        <v>28</v>
      </c>
      <c r="S31" s="174">
        <f>SUM(O31:R31)</f>
        <v>17</v>
      </c>
      <c r="U31" s="177">
        <v>-13</v>
      </c>
      <c r="V31" s="174">
        <v>-14</v>
      </c>
      <c r="W31" s="174">
        <v>-3</v>
      </c>
      <c r="X31" s="174">
        <v>0</v>
      </c>
      <c r="Y31" s="174">
        <f t="shared" si="1"/>
        <v>-30</v>
      </c>
      <c r="Z31" s="314"/>
      <c r="AA31" s="177">
        <v>15</v>
      </c>
      <c r="AB31" s="174">
        <v>11</v>
      </c>
      <c r="AC31" s="174">
        <v>2</v>
      </c>
      <c r="AD31" s="174">
        <v>-17</v>
      </c>
      <c r="AE31" s="174">
        <v>11</v>
      </c>
      <c r="AG31" s="177">
        <v>-12</v>
      </c>
      <c r="AH31" s="217">
        <f>2-7</f>
        <v>-5</v>
      </c>
      <c r="AI31" s="217">
        <v>-1</v>
      </c>
      <c r="AJ31" s="217">
        <f>-39-2</f>
        <v>-41</v>
      </c>
      <c r="AK31" s="174">
        <v>-59</v>
      </c>
      <c r="AL31" s="278"/>
      <c r="AM31" s="217">
        <v>-3</v>
      </c>
      <c r="AN31" s="217">
        <v>-3</v>
      </c>
      <c r="AO31" s="217">
        <v>1</v>
      </c>
      <c r="AP31" s="174">
        <f>AQ31-AM31-AN31-AO31</f>
        <v>-2</v>
      </c>
      <c r="AQ31" s="174">
        <v>-7</v>
      </c>
      <c r="AR31" s="314"/>
      <c r="AS31" s="206">
        <v>-1</v>
      </c>
      <c r="AT31" s="206">
        <v>-3</v>
      </c>
      <c r="AU31" s="206">
        <v>0</v>
      </c>
      <c r="AV31" s="206">
        <v>-6</v>
      </c>
      <c r="AW31" s="206">
        <v>-10</v>
      </c>
      <c r="AX31" s="206">
        <v>0</v>
      </c>
      <c r="AY31" s="206">
        <v>-4</v>
      </c>
      <c r="AZ31" s="206">
        <v>0</v>
      </c>
      <c r="BA31" s="206">
        <v>-15</v>
      </c>
      <c r="BB31" s="206">
        <f>+BA31+AZ31+AY31+AX31</f>
        <v>-19</v>
      </c>
      <c r="BC31" s="206">
        <v>0</v>
      </c>
      <c r="BD31" s="206">
        <v>-6</v>
      </c>
      <c r="BE31" s="206">
        <v>0</v>
      </c>
      <c r="BF31" s="206">
        <v>-4</v>
      </c>
      <c r="BG31" s="206">
        <v>-10</v>
      </c>
      <c r="BH31" s="206">
        <v>0</v>
      </c>
      <c r="BI31" s="206">
        <v>-6</v>
      </c>
      <c r="BJ31" s="206">
        <v>0</v>
      </c>
      <c r="BK31" s="206">
        <v>-6</v>
      </c>
      <c r="BL31" s="206">
        <f t="shared" si="0"/>
        <v>-12</v>
      </c>
      <c r="BM31" s="206">
        <v>0</v>
      </c>
      <c r="BN31" s="206">
        <v>-2</v>
      </c>
      <c r="BO31" s="206">
        <v>1</v>
      </c>
      <c r="BP31" s="206">
        <v>0</v>
      </c>
      <c r="BQ31" s="206">
        <v>-1</v>
      </c>
      <c r="BR31" s="206">
        <v>0</v>
      </c>
      <c r="BS31" s="351">
        <v>0</v>
      </c>
      <c r="BU31" s="482"/>
    </row>
    <row r="32" spans="1:73" ht="12" customHeight="1">
      <c r="A32" s="492" t="s">
        <v>276</v>
      </c>
      <c r="B32" s="277"/>
      <c r="C32" s="177">
        <v>-9</v>
      </c>
      <c r="D32" s="174">
        <v>-10</v>
      </c>
      <c r="E32" s="174">
        <v>-10</v>
      </c>
      <c r="F32" s="174">
        <v>-8</v>
      </c>
      <c r="G32" s="174">
        <v>-37</v>
      </c>
      <c r="H32" s="277"/>
      <c r="I32" s="177">
        <v>-9</v>
      </c>
      <c r="J32" s="174">
        <v>-10</v>
      </c>
      <c r="K32" s="174">
        <v>-10</v>
      </c>
      <c r="L32" s="174">
        <v>-9</v>
      </c>
      <c r="M32" s="174">
        <v>-38</v>
      </c>
      <c r="N32" s="396"/>
      <c r="O32" s="177">
        <v>-11</v>
      </c>
      <c r="P32" s="174">
        <v>-8</v>
      </c>
      <c r="Q32" s="174">
        <v>-10</v>
      </c>
      <c r="R32" s="174">
        <v>-10</v>
      </c>
      <c r="S32" s="174">
        <f>SUM(O32:R32)</f>
        <v>-39</v>
      </c>
      <c r="U32" s="177">
        <v>-11</v>
      </c>
      <c r="V32" s="174">
        <v>-11</v>
      </c>
      <c r="W32" s="174">
        <v>-11</v>
      </c>
      <c r="X32" s="174">
        <v>-10</v>
      </c>
      <c r="Y32" s="174">
        <f t="shared" si="1"/>
        <v>-43</v>
      </c>
      <c r="Z32" s="314"/>
      <c r="AA32" s="177">
        <v>-11</v>
      </c>
      <c r="AB32" s="174">
        <v>-10</v>
      </c>
      <c r="AC32" s="174">
        <v>-12</v>
      </c>
      <c r="AD32" s="174">
        <v>-10</v>
      </c>
      <c r="AE32" s="174">
        <v>-43</v>
      </c>
      <c r="AG32" s="177">
        <v>-11</v>
      </c>
      <c r="AH32" s="217">
        <f>-10</f>
        <v>-10</v>
      </c>
      <c r="AI32" s="217">
        <f>-10</f>
        <v>-10</v>
      </c>
      <c r="AJ32" s="217">
        <f>35-10+2</f>
        <v>27</v>
      </c>
      <c r="AK32" s="174">
        <v>-4</v>
      </c>
      <c r="AL32" s="278"/>
      <c r="AM32" s="217">
        <v>-9</v>
      </c>
      <c r="AN32" s="217">
        <v>5</v>
      </c>
      <c r="AO32" s="217">
        <v>-2</v>
      </c>
      <c r="AP32" s="174">
        <f>AQ32-AM32-AN32-AO32</f>
        <v>-2</v>
      </c>
      <c r="AQ32" s="174">
        <v>-8</v>
      </c>
      <c r="AR32" s="314"/>
      <c r="AS32" s="206">
        <v>-1</v>
      </c>
      <c r="AT32" s="206">
        <v>-3</v>
      </c>
      <c r="AU32" s="206">
        <v>-2</v>
      </c>
      <c r="AV32" s="206">
        <v>-2</v>
      </c>
      <c r="AW32" s="206">
        <v>-8</v>
      </c>
      <c r="AX32" s="206">
        <v>-2</v>
      </c>
      <c r="AY32" s="206">
        <v>-2</v>
      </c>
      <c r="AZ32" s="206">
        <v>-3</v>
      </c>
      <c r="BA32" s="206">
        <v>15</v>
      </c>
      <c r="BB32" s="206">
        <f>+BA32+AZ32+AY32+AX32</f>
        <v>8</v>
      </c>
      <c r="BC32" s="206">
        <v>-3</v>
      </c>
      <c r="BD32" s="206">
        <v>-5</v>
      </c>
      <c r="BE32" s="206">
        <v>-50</v>
      </c>
      <c r="BF32" s="206">
        <v>-2</v>
      </c>
      <c r="BG32" s="206">
        <v>-60</v>
      </c>
      <c r="BH32" s="206">
        <v>-19</v>
      </c>
      <c r="BI32" s="206">
        <v>-20</v>
      </c>
      <c r="BJ32" s="206">
        <v>13</v>
      </c>
      <c r="BK32" s="206">
        <v>-18</v>
      </c>
      <c r="BL32" s="206">
        <f t="shared" si="0"/>
        <v>-44</v>
      </c>
      <c r="BM32" s="206">
        <v>-21</v>
      </c>
      <c r="BN32" s="206">
        <v>-19</v>
      </c>
      <c r="BO32" s="206">
        <v>-21</v>
      </c>
      <c r="BP32" s="206">
        <v>50</v>
      </c>
      <c r="BQ32" s="206">
        <v>-11</v>
      </c>
      <c r="BR32" s="206">
        <v>-19</v>
      </c>
      <c r="BS32" s="351">
        <v>-21</v>
      </c>
      <c r="BU32" s="482"/>
    </row>
    <row r="33" spans="1:73" ht="12" customHeight="1">
      <c r="A33" s="487" t="s">
        <v>121</v>
      </c>
      <c r="B33" s="372"/>
      <c r="C33" s="175">
        <f>C17+C18+C26</f>
        <v>712</v>
      </c>
      <c r="D33" s="173">
        <f>D17+D18+D26</f>
        <v>819</v>
      </c>
      <c r="E33" s="173">
        <f>E17+E18+E26</f>
        <v>872</v>
      </c>
      <c r="F33" s="173">
        <f>F17+F18+F26</f>
        <v>959</v>
      </c>
      <c r="G33" s="173">
        <f>G17+G18+G26</f>
        <v>3362</v>
      </c>
      <c r="H33" s="372"/>
      <c r="I33" s="175">
        <f>I17+I18+I26</f>
        <v>705</v>
      </c>
      <c r="J33" s="173">
        <f>J17+J18+J26</f>
        <v>1176</v>
      </c>
      <c r="K33" s="173">
        <f>K17+K18+K26</f>
        <v>521</v>
      </c>
      <c r="L33" s="173">
        <f>L17+L18+L26</f>
        <v>-4340</v>
      </c>
      <c r="M33" s="173">
        <f>M17+M18+M26</f>
        <v>-1938</v>
      </c>
      <c r="N33" s="393"/>
      <c r="O33" s="175">
        <f>O17+O18+O26</f>
        <v>532</v>
      </c>
      <c r="P33" s="173">
        <f>P17+P18+P26</f>
        <v>500</v>
      </c>
      <c r="Q33" s="173">
        <f>Q17+Q18+Q26</f>
        <v>800</v>
      </c>
      <c r="R33" s="173">
        <f>R17+R18+R26</f>
        <v>-5207</v>
      </c>
      <c r="S33" s="173">
        <f>S26+S18+S17</f>
        <v>-3375</v>
      </c>
      <c r="U33" s="175">
        <f>U17+U18+U26</f>
        <v>1104</v>
      </c>
      <c r="V33" s="173">
        <f>V17+V18+V26</f>
        <v>725</v>
      </c>
      <c r="W33" s="173">
        <f>W17+W18+W26</f>
        <v>673</v>
      </c>
      <c r="X33" s="173">
        <v>-348</v>
      </c>
      <c r="Y33" s="173">
        <f t="shared" si="1"/>
        <v>2154</v>
      </c>
      <c r="Z33" s="14"/>
      <c r="AA33" s="175">
        <f>AA17+AA18+AA26</f>
        <v>727</v>
      </c>
      <c r="AB33" s="173">
        <f>AB17+AB18+AB26</f>
        <v>551</v>
      </c>
      <c r="AC33" s="173">
        <f>AC17+AC18+AC26</f>
        <v>650</v>
      </c>
      <c r="AD33" s="173">
        <f>AD17+AD18+AD26</f>
        <v>744</v>
      </c>
      <c r="AE33" s="173">
        <f>AE17+AE18+AE26</f>
        <v>2672</v>
      </c>
      <c r="AG33" s="175">
        <f>AG17+AG18+AG26</f>
        <v>931</v>
      </c>
      <c r="AH33" s="191">
        <f>AH17+AH18+AH26</f>
        <v>781</v>
      </c>
      <c r="AI33" s="191">
        <f>AI17+AI18+AI26</f>
        <v>658</v>
      </c>
      <c r="AJ33" s="191">
        <f>AJ17+AJ18+AJ26</f>
        <v>-443</v>
      </c>
      <c r="AK33" s="173">
        <v>1927</v>
      </c>
      <c r="AL33" s="278"/>
      <c r="AM33" s="48">
        <v>608</v>
      </c>
      <c r="AN33" s="48">
        <v>533</v>
      </c>
      <c r="AO33" s="48">
        <f>+AO17+AO18+AO26</f>
        <v>686</v>
      </c>
      <c r="AP33" s="394">
        <f>AP17+AP18+AP26</f>
        <v>940</v>
      </c>
      <c r="AQ33" s="394">
        <f>AQ17+AQ18+AQ26</f>
        <v>2767</v>
      </c>
      <c r="AR33" s="395"/>
      <c r="AS33" s="233">
        <f t="shared" ref="AS33:AY33" si="6">AS17+AS18+AS26</f>
        <v>1425</v>
      </c>
      <c r="AT33" s="233">
        <f t="shared" si="6"/>
        <v>3653</v>
      </c>
      <c r="AU33" s="233">
        <f t="shared" si="6"/>
        <v>992</v>
      </c>
      <c r="AV33" s="233">
        <f t="shared" si="6"/>
        <v>646</v>
      </c>
      <c r="AW33" s="233">
        <f t="shared" si="6"/>
        <v>6716</v>
      </c>
      <c r="AX33" s="233">
        <f t="shared" si="6"/>
        <v>1838</v>
      </c>
      <c r="AY33" s="233">
        <f t="shared" si="6"/>
        <v>1938</v>
      </c>
      <c r="AZ33" s="233">
        <f>AZ17+AZ18+AZ26</f>
        <v>1081</v>
      </c>
      <c r="BA33" s="233">
        <f>BA17+BA18+BA26</f>
        <v>139</v>
      </c>
      <c r="BB33" s="233">
        <f>BB17+BB18+BB26</f>
        <v>4996</v>
      </c>
      <c r="BC33" s="233">
        <v>869</v>
      </c>
      <c r="BD33" s="233">
        <v>934</v>
      </c>
      <c r="BE33" s="233">
        <f>+BE18+BE26+BE17</f>
        <v>837</v>
      </c>
      <c r="BF33" s="207">
        <f>+BF18+BF26+BF17</f>
        <v>-3670</v>
      </c>
      <c r="BG33" s="207">
        <f>+BG18+BG26+BG17</f>
        <v>-1030</v>
      </c>
      <c r="BH33" s="207">
        <f>+BH18+BH26+BH17</f>
        <v>610</v>
      </c>
      <c r="BI33" s="207">
        <f>+BI18+BI26+BI17</f>
        <v>1408</v>
      </c>
      <c r="BJ33" s="207">
        <f>BJ17+BJ18+BJ26</f>
        <v>-21</v>
      </c>
      <c r="BK33" s="207">
        <f>BK17+BK18+BK26</f>
        <v>1988</v>
      </c>
      <c r="BL33" s="207">
        <f t="shared" si="0"/>
        <v>3985</v>
      </c>
      <c r="BM33" s="207">
        <f>+BM17+BM18+BM26</f>
        <v>393</v>
      </c>
      <c r="BN33" s="207">
        <f>+BN17+BN18+BN26</f>
        <v>241</v>
      </c>
      <c r="BO33" s="207">
        <v>707</v>
      </c>
      <c r="BP33" s="207">
        <f>+BP17+BP18+BP26</f>
        <v>2039</v>
      </c>
      <c r="BQ33" s="207">
        <f>+BQ17+BQ18+BQ26</f>
        <v>3380</v>
      </c>
      <c r="BR33" s="207">
        <v>4119</v>
      </c>
      <c r="BS33" s="366">
        <f>+BS17+BS18+BS26</f>
        <v>3460</v>
      </c>
      <c r="BU33" s="482"/>
    </row>
    <row r="34" spans="1:73" ht="12" customHeight="1">
      <c r="A34" s="497" t="s">
        <v>122</v>
      </c>
      <c r="B34" s="277"/>
      <c r="C34" s="177">
        <v>-205</v>
      </c>
      <c r="D34" s="174">
        <v>-207</v>
      </c>
      <c r="E34" s="174">
        <v>-243</v>
      </c>
      <c r="F34" s="174">
        <v>-293</v>
      </c>
      <c r="G34" s="174">
        <v>-948</v>
      </c>
      <c r="H34" s="277"/>
      <c r="I34" s="177">
        <v>-208</v>
      </c>
      <c r="J34" s="174">
        <v>-352</v>
      </c>
      <c r="K34" s="174">
        <v>-167</v>
      </c>
      <c r="L34" s="174">
        <v>-123</v>
      </c>
      <c r="M34" s="174">
        <v>-850</v>
      </c>
      <c r="N34" s="396"/>
      <c r="O34" s="177">
        <v>-162</v>
      </c>
      <c r="P34" s="174">
        <v>-202</v>
      </c>
      <c r="Q34" s="174">
        <v>-186</v>
      </c>
      <c r="R34" s="174">
        <v>-160</v>
      </c>
      <c r="S34" s="174">
        <v>-710</v>
      </c>
      <c r="U34" s="177">
        <v>-299</v>
      </c>
      <c r="V34" s="174">
        <v>-220</v>
      </c>
      <c r="W34" s="174">
        <v>-133</v>
      </c>
      <c r="X34" s="174">
        <v>-179</v>
      </c>
      <c r="Y34" s="174">
        <f t="shared" si="1"/>
        <v>-831</v>
      </c>
      <c r="Z34" s="314"/>
      <c r="AA34" s="177">
        <v>-197</v>
      </c>
      <c r="AB34" s="174">
        <v>-94</v>
      </c>
      <c r="AC34" s="174">
        <v>-207</v>
      </c>
      <c r="AD34" s="174">
        <v>-149</v>
      </c>
      <c r="AE34" s="174">
        <v>-647</v>
      </c>
      <c r="AG34" s="177">
        <v>-236</v>
      </c>
      <c r="AH34" s="217">
        <v>-249</v>
      </c>
      <c r="AI34" s="217">
        <v>-222</v>
      </c>
      <c r="AJ34" s="217">
        <v>44</v>
      </c>
      <c r="AK34" s="174">
        <v>-663</v>
      </c>
      <c r="AL34" s="278"/>
      <c r="AM34" s="217">
        <v>-209</v>
      </c>
      <c r="AN34" s="217">
        <v>-185</v>
      </c>
      <c r="AO34" s="217">
        <v>-277</v>
      </c>
      <c r="AP34" s="174">
        <v>-317</v>
      </c>
      <c r="AQ34" s="174">
        <v>-988</v>
      </c>
      <c r="AR34" s="314"/>
      <c r="AS34" s="206">
        <v>-450</v>
      </c>
      <c r="AT34" s="206">
        <v>-402</v>
      </c>
      <c r="AU34" s="206">
        <v>-366</v>
      </c>
      <c r="AV34" s="206">
        <v>-329</v>
      </c>
      <c r="AW34" s="206">
        <v>-1547</v>
      </c>
      <c r="AX34" s="206">
        <v>-513</v>
      </c>
      <c r="AY34" s="206">
        <v>-455</v>
      </c>
      <c r="AZ34" s="206">
        <v>-351</v>
      </c>
      <c r="BA34" s="206">
        <v>-144</v>
      </c>
      <c r="BB34" s="206">
        <f>+BA34+AZ34+AY34+AX34</f>
        <v>-1463</v>
      </c>
      <c r="BC34" s="206">
        <v>-387</v>
      </c>
      <c r="BD34" s="206">
        <v>-209</v>
      </c>
      <c r="BE34" s="206">
        <v>-307</v>
      </c>
      <c r="BF34" s="206">
        <v>780</v>
      </c>
      <c r="BG34" s="206">
        <v>-123</v>
      </c>
      <c r="BH34" s="206">
        <v>-223</v>
      </c>
      <c r="BI34" s="206">
        <v>-464</v>
      </c>
      <c r="BJ34" s="206">
        <v>-106</v>
      </c>
      <c r="BK34" s="206">
        <v>-404</v>
      </c>
      <c r="BL34" s="206">
        <f t="shared" si="0"/>
        <v>-1197</v>
      </c>
      <c r="BM34" s="206">
        <v>-266</v>
      </c>
      <c r="BN34" s="206">
        <v>-255</v>
      </c>
      <c r="BO34" s="206">
        <v>-361</v>
      </c>
      <c r="BP34" s="206">
        <v>-552</v>
      </c>
      <c r="BQ34" s="206">
        <v>-1434</v>
      </c>
      <c r="BR34" s="206">
        <v>-1151</v>
      </c>
      <c r="BS34" s="351">
        <v>-935</v>
      </c>
      <c r="BU34" s="482"/>
    </row>
    <row r="35" spans="1:73" ht="12" customHeight="1">
      <c r="A35" s="487" t="s">
        <v>123</v>
      </c>
      <c r="B35" s="284"/>
      <c r="C35" s="175">
        <f>C33+C34</f>
        <v>507</v>
      </c>
      <c r="D35" s="173">
        <f>D33+D34</f>
        <v>612</v>
      </c>
      <c r="E35" s="173">
        <f>E33+E34</f>
        <v>629</v>
      </c>
      <c r="F35" s="173">
        <f>F33+F34</f>
        <v>666</v>
      </c>
      <c r="G35" s="173">
        <f>G33+G34</f>
        <v>2414</v>
      </c>
      <c r="H35" s="284"/>
      <c r="I35" s="175">
        <f>I33+I34</f>
        <v>497</v>
      </c>
      <c r="J35" s="173">
        <f>J33+J34</f>
        <v>824</v>
      </c>
      <c r="K35" s="173">
        <f>K33+K34</f>
        <v>354</v>
      </c>
      <c r="L35" s="173">
        <f>L33+L34</f>
        <v>-4463</v>
      </c>
      <c r="M35" s="173">
        <f>M33+M34</f>
        <v>-2788</v>
      </c>
      <c r="N35" s="393"/>
      <c r="O35" s="175">
        <f>O33+O34</f>
        <v>370</v>
      </c>
      <c r="P35" s="173">
        <f>P33+P34</f>
        <v>298</v>
      </c>
      <c r="Q35" s="173">
        <f>Q33+Q34</f>
        <v>614</v>
      </c>
      <c r="R35" s="173">
        <f>R33+R34</f>
        <v>-5367</v>
      </c>
      <c r="S35" s="173">
        <f>S33+S34</f>
        <v>-4085</v>
      </c>
      <c r="U35" s="175">
        <f>U33+U34</f>
        <v>805</v>
      </c>
      <c r="V35" s="173">
        <f>V33+V34</f>
        <v>505</v>
      </c>
      <c r="W35" s="173">
        <f>W33+W34</f>
        <v>540</v>
      </c>
      <c r="X35" s="173">
        <v>-527</v>
      </c>
      <c r="Y35" s="173">
        <f t="shared" si="1"/>
        <v>1323</v>
      </c>
      <c r="Z35" s="14"/>
      <c r="AA35" s="175">
        <f>AA33+AA34</f>
        <v>530</v>
      </c>
      <c r="AB35" s="173">
        <f>AB33+AB34</f>
        <v>457</v>
      </c>
      <c r="AC35" s="173">
        <f>AC33+AC34</f>
        <v>443</v>
      </c>
      <c r="AD35" s="173">
        <f>AD33+AD34</f>
        <v>595</v>
      </c>
      <c r="AE35" s="173">
        <f>AE33+AE34</f>
        <v>2025</v>
      </c>
      <c r="AG35" s="175">
        <f>AG33+AG34</f>
        <v>695</v>
      </c>
      <c r="AH35" s="191">
        <f>AH33+AH34</f>
        <v>532</v>
      </c>
      <c r="AI35" s="191">
        <f>AI33+AI34</f>
        <v>436</v>
      </c>
      <c r="AJ35" s="191">
        <f>AJ33+AJ34</f>
        <v>-399</v>
      </c>
      <c r="AK35" s="173">
        <v>1264</v>
      </c>
      <c r="AL35" s="278"/>
      <c r="AM35" s="48">
        <v>399</v>
      </c>
      <c r="AN35" s="48">
        <v>348</v>
      </c>
      <c r="AO35" s="48">
        <f>+AO33+AO34</f>
        <v>409</v>
      </c>
      <c r="AP35" s="394">
        <f>AP33+AP34</f>
        <v>623</v>
      </c>
      <c r="AQ35" s="394">
        <f>AQ33+AQ34</f>
        <v>1779</v>
      </c>
      <c r="AR35" s="395"/>
      <c r="AS35" s="233">
        <f t="shared" ref="AS35:BB35" si="7">AS33+AS34</f>
        <v>975</v>
      </c>
      <c r="AT35" s="233">
        <f t="shared" si="7"/>
        <v>3251</v>
      </c>
      <c r="AU35" s="233">
        <f t="shared" si="7"/>
        <v>626</v>
      </c>
      <c r="AV35" s="233">
        <f t="shared" si="7"/>
        <v>317</v>
      </c>
      <c r="AW35" s="233">
        <f t="shared" si="7"/>
        <v>5169</v>
      </c>
      <c r="AX35" s="233">
        <f t="shared" si="7"/>
        <v>1325</v>
      </c>
      <c r="AY35" s="233">
        <f t="shared" si="7"/>
        <v>1483</v>
      </c>
      <c r="AZ35" s="233">
        <f t="shared" si="7"/>
        <v>730</v>
      </c>
      <c r="BA35" s="207">
        <f>BA33+BA34</f>
        <v>-5</v>
      </c>
      <c r="BB35" s="233">
        <f t="shared" si="7"/>
        <v>3533</v>
      </c>
      <c r="BC35" s="233">
        <v>482</v>
      </c>
      <c r="BD35" s="233">
        <f>+BD33+BD34</f>
        <v>725</v>
      </c>
      <c r="BE35" s="233">
        <f>+BE33+BE34</f>
        <v>530</v>
      </c>
      <c r="BF35" s="207">
        <f>+BF33+BF34</f>
        <v>-2890</v>
      </c>
      <c r="BG35" s="207">
        <f>+BG33+BG34</f>
        <v>-1153</v>
      </c>
      <c r="BH35" s="207">
        <f>+BH33+BH34</f>
        <v>387</v>
      </c>
      <c r="BI35" s="207">
        <v>944</v>
      </c>
      <c r="BJ35" s="207">
        <f>BJ33+BJ34</f>
        <v>-127</v>
      </c>
      <c r="BK35" s="207">
        <f>BK33+BK34</f>
        <v>1584</v>
      </c>
      <c r="BL35" s="207">
        <f t="shared" si="0"/>
        <v>2788</v>
      </c>
      <c r="BM35" s="207">
        <f>+BM33+BM34</f>
        <v>127</v>
      </c>
      <c r="BN35" s="207">
        <f>+BN33+BN34</f>
        <v>-14</v>
      </c>
      <c r="BO35" s="207">
        <v>346</v>
      </c>
      <c r="BP35" s="207">
        <f>+BP33+BP34</f>
        <v>1487</v>
      </c>
      <c r="BQ35" s="207">
        <f>+BQ33+BQ34</f>
        <v>1946</v>
      </c>
      <c r="BR35" s="207">
        <v>2968</v>
      </c>
      <c r="BS35" s="207">
        <f>+BS33+BS34</f>
        <v>2525</v>
      </c>
      <c r="BU35" s="482"/>
    </row>
    <row r="36" spans="1:73" ht="12" customHeight="1">
      <c r="A36" s="320"/>
      <c r="B36" s="320"/>
      <c r="C36" s="399"/>
      <c r="D36" s="399"/>
      <c r="E36" s="399"/>
      <c r="F36" s="399"/>
      <c r="G36" s="399"/>
      <c r="H36" s="277"/>
      <c r="I36" s="399"/>
      <c r="J36" s="399"/>
      <c r="K36" s="399"/>
      <c r="L36" s="399"/>
      <c r="M36" s="399"/>
      <c r="N36" s="400"/>
      <c r="O36" s="400"/>
      <c r="P36" s="400"/>
      <c r="Q36" s="400"/>
      <c r="R36" s="400"/>
      <c r="S36" s="401"/>
      <c r="U36" s="400"/>
      <c r="V36" s="400"/>
      <c r="W36" s="400"/>
      <c r="X36" s="400"/>
      <c r="Y36" s="401"/>
      <c r="Z36" s="401"/>
      <c r="AA36" s="400"/>
      <c r="AB36" s="400"/>
      <c r="AC36" s="400"/>
      <c r="AD36" s="400"/>
      <c r="AE36" s="401"/>
      <c r="AF36" s="400"/>
      <c r="AG36" s="400"/>
      <c r="AH36" s="400"/>
      <c r="AI36" s="400"/>
      <c r="AJ36" s="401"/>
      <c r="AK36" s="400"/>
      <c r="AL36" s="400"/>
      <c r="AM36" s="400"/>
      <c r="AN36" s="400"/>
      <c r="AO36" s="401"/>
      <c r="AP36" s="400"/>
      <c r="AQ36" s="400"/>
      <c r="AR36" s="400"/>
      <c r="AS36" s="400"/>
      <c r="AT36" s="401"/>
      <c r="AU36" s="400"/>
      <c r="AV36" s="400"/>
      <c r="AW36" s="400"/>
      <c r="AX36" s="400"/>
      <c r="AY36" s="401"/>
      <c r="AZ36" s="400"/>
      <c r="BA36" s="402"/>
      <c r="BB36" s="401"/>
      <c r="BC36" s="402"/>
      <c r="BD36" s="402"/>
      <c r="BE36" s="402"/>
      <c r="BF36" s="402"/>
      <c r="BG36" s="402"/>
      <c r="BH36" s="402"/>
      <c r="BI36" s="402"/>
      <c r="BJ36" s="402"/>
      <c r="BK36" s="402"/>
      <c r="BL36" s="402"/>
      <c r="BM36" s="402"/>
      <c r="BN36" s="402"/>
      <c r="BO36" s="402"/>
      <c r="BP36" s="402"/>
      <c r="BQ36" s="402"/>
      <c r="BR36" s="402"/>
      <c r="BS36" s="402"/>
      <c r="BU36" s="482"/>
    </row>
    <row r="37" spans="1:73" ht="13.5" customHeight="1">
      <c r="A37" s="498" t="s">
        <v>124</v>
      </c>
      <c r="B37" s="289"/>
      <c r="C37" s="294">
        <v>206</v>
      </c>
      <c r="D37" s="292">
        <v>213</v>
      </c>
      <c r="E37" s="292">
        <v>210</v>
      </c>
      <c r="F37" s="292">
        <v>189</v>
      </c>
      <c r="G37" s="292">
        <v>818</v>
      </c>
      <c r="H37" s="272"/>
      <c r="I37" s="294">
        <v>226</v>
      </c>
      <c r="J37" s="292">
        <v>203</v>
      </c>
      <c r="K37" s="292">
        <v>226</v>
      </c>
      <c r="L37" s="292">
        <v>220</v>
      </c>
      <c r="M37" s="292">
        <v>875</v>
      </c>
      <c r="N37" s="393"/>
      <c r="O37" s="403">
        <v>214</v>
      </c>
      <c r="P37" s="404">
        <v>237</v>
      </c>
      <c r="Q37" s="404">
        <v>249</v>
      </c>
      <c r="R37" s="404">
        <v>256</v>
      </c>
      <c r="S37" s="173">
        <v>956</v>
      </c>
      <c r="T37" s="275"/>
      <c r="U37" s="403">
        <v>239</v>
      </c>
      <c r="V37" s="404">
        <v>257</v>
      </c>
      <c r="W37" s="404">
        <v>256</v>
      </c>
      <c r="X37" s="404">
        <v>283</v>
      </c>
      <c r="Y37" s="173">
        <v>1035</v>
      </c>
      <c r="Z37" s="14"/>
      <c r="AA37" s="175">
        <v>251</v>
      </c>
      <c r="AB37" s="173">
        <v>283</v>
      </c>
      <c r="AC37" s="173">
        <v>286</v>
      </c>
      <c r="AD37" s="173">
        <v>299</v>
      </c>
      <c r="AE37" s="173">
        <v>1119</v>
      </c>
      <c r="AF37" s="275"/>
      <c r="AG37" s="175">
        <v>274</v>
      </c>
      <c r="AH37" s="191">
        <v>312</v>
      </c>
      <c r="AI37" s="191">
        <f>893-274-312</f>
        <v>307</v>
      </c>
      <c r="AJ37" s="191">
        <f>1220-274-312-307</f>
        <v>327</v>
      </c>
      <c r="AK37" s="173">
        <v>1220</v>
      </c>
      <c r="AL37" s="273"/>
      <c r="AM37" s="191">
        <v>284</v>
      </c>
      <c r="AN37" s="191">
        <v>311</v>
      </c>
      <c r="AO37" s="191">
        <v>301</v>
      </c>
      <c r="AP37" s="405">
        <v>397</v>
      </c>
      <c r="AQ37" s="405">
        <v>1293</v>
      </c>
      <c r="AR37" s="395"/>
      <c r="AS37" s="209">
        <v>309</v>
      </c>
      <c r="AT37" s="209">
        <v>347</v>
      </c>
      <c r="AU37" s="209">
        <v>359</v>
      </c>
      <c r="AV37" s="209">
        <v>348</v>
      </c>
      <c r="AW37" s="209">
        <v>1363</v>
      </c>
      <c r="AX37" s="209">
        <v>322</v>
      </c>
      <c r="AY37" s="209">
        <v>373</v>
      </c>
      <c r="AZ37" s="209">
        <v>369</v>
      </c>
      <c r="BA37" s="209">
        <v>370</v>
      </c>
      <c r="BB37" s="209">
        <f>+BA37+AZ37+AY37+AX37</f>
        <v>1434</v>
      </c>
      <c r="BC37" s="328"/>
      <c r="BD37" s="328"/>
      <c r="BE37" s="328"/>
      <c r="BF37" s="328"/>
      <c r="BG37" s="328"/>
      <c r="BH37" s="328"/>
      <c r="BI37" s="328"/>
      <c r="BJ37" s="328"/>
      <c r="BK37" s="328"/>
      <c r="BL37" s="328"/>
      <c r="BM37" s="328"/>
      <c r="BN37" s="328"/>
      <c r="BO37" s="328"/>
      <c r="BP37" s="328"/>
      <c r="BQ37" s="328"/>
      <c r="BR37" s="328"/>
      <c r="BS37" s="328"/>
      <c r="BU37" s="482"/>
    </row>
    <row r="38" spans="1:73" ht="13.5" customHeight="1">
      <c r="A38" s="499" t="s">
        <v>125</v>
      </c>
      <c r="B38" s="289"/>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328"/>
      <c r="BB38" s="158"/>
      <c r="BC38" s="209">
        <v>413</v>
      </c>
      <c r="BD38" s="209">
        <v>435</v>
      </c>
      <c r="BE38" s="209">
        <v>427</v>
      </c>
      <c r="BF38" s="209">
        <v>400</v>
      </c>
      <c r="BG38" s="209">
        <v>1675</v>
      </c>
      <c r="BH38" s="209">
        <v>395</v>
      </c>
      <c r="BI38" s="209">
        <v>406</v>
      </c>
      <c r="BJ38" s="209">
        <v>397</v>
      </c>
      <c r="BK38" s="209">
        <v>409</v>
      </c>
      <c r="BL38" s="209">
        <f>+BK38+BJ38+BI38+BH38</f>
        <v>1607</v>
      </c>
      <c r="BM38" s="209">
        <v>445</v>
      </c>
      <c r="BN38" s="209">
        <v>445</v>
      </c>
      <c r="BO38" s="209">
        <v>444</v>
      </c>
      <c r="BP38" s="209">
        <v>419</v>
      </c>
      <c r="BQ38" s="209">
        <v>1753</v>
      </c>
      <c r="BR38" s="209">
        <v>478</v>
      </c>
      <c r="BS38" s="348">
        <v>478</v>
      </c>
      <c r="BU38" s="482"/>
    </row>
    <row r="39" spans="1:73" ht="13.5" customHeight="1">
      <c r="A39" s="498" t="s">
        <v>277</v>
      </c>
      <c r="B39" s="289"/>
      <c r="C39" s="406">
        <v>982</v>
      </c>
      <c r="D39" s="290">
        <v>1037</v>
      </c>
      <c r="E39" s="290">
        <v>1112</v>
      </c>
      <c r="F39" s="290">
        <v>1200</v>
      </c>
      <c r="G39" s="290">
        <v>4331</v>
      </c>
      <c r="H39" s="277"/>
      <c r="I39" s="406">
        <v>1095</v>
      </c>
      <c r="J39" s="290">
        <v>1269</v>
      </c>
      <c r="K39" s="290">
        <v>888</v>
      </c>
      <c r="L39" s="290">
        <v>907</v>
      </c>
      <c r="M39" s="290">
        <v>4159</v>
      </c>
      <c r="N39" s="393"/>
      <c r="O39" s="407">
        <v>673</v>
      </c>
      <c r="P39" s="408">
        <v>790</v>
      </c>
      <c r="Q39" s="408">
        <v>931</v>
      </c>
      <c r="R39" s="408">
        <v>1157</v>
      </c>
      <c r="S39" s="174">
        <v>3551</v>
      </c>
      <c r="U39" s="407">
        <v>1304</v>
      </c>
      <c r="V39" s="408">
        <v>927</v>
      </c>
      <c r="W39" s="408">
        <v>968</v>
      </c>
      <c r="X39" s="408">
        <v>961</v>
      </c>
      <c r="Y39" s="174">
        <v>4160</v>
      </c>
      <c r="Z39" s="314"/>
      <c r="AA39" s="177">
        <v>771</v>
      </c>
      <c r="AB39" s="174">
        <v>929</v>
      </c>
      <c r="AC39" s="174">
        <v>888</v>
      </c>
      <c r="AD39" s="174">
        <v>828</v>
      </c>
      <c r="AE39" s="174">
        <v>3416</v>
      </c>
      <c r="AG39" s="177">
        <v>999</v>
      </c>
      <c r="AH39" s="217">
        <v>920</v>
      </c>
      <c r="AI39" s="217">
        <f>AI17+AI37</f>
        <v>949</v>
      </c>
      <c r="AJ39" s="217">
        <f>3612-949-920-999</f>
        <v>744</v>
      </c>
      <c r="AK39" s="174">
        <v>3612</v>
      </c>
      <c r="AL39" s="278"/>
      <c r="AM39" s="174">
        <v>900</v>
      </c>
      <c r="AN39" s="174">
        <v>1031</v>
      </c>
      <c r="AO39" s="174">
        <v>1121</v>
      </c>
      <c r="AP39" s="174">
        <v>1406</v>
      </c>
      <c r="AQ39" s="174">
        <v>4458</v>
      </c>
      <c r="AR39" s="384"/>
      <c r="AS39" s="174">
        <f>AS17+AS37</f>
        <v>1668</v>
      </c>
      <c r="AT39" s="232">
        <f>AT17+AT37</f>
        <v>1482</v>
      </c>
      <c r="AU39" s="232">
        <f>AU17+AU37</f>
        <v>1115</v>
      </c>
      <c r="AV39" s="232">
        <v>1202</v>
      </c>
      <c r="AW39" s="232">
        <v>5467</v>
      </c>
      <c r="AX39" s="232">
        <f>AX17+AX37</f>
        <v>1924</v>
      </c>
      <c r="AY39" s="232">
        <f>AY17+AY37</f>
        <v>1515</v>
      </c>
      <c r="AZ39" s="232">
        <f>AZ17+AZ37</f>
        <v>998</v>
      </c>
      <c r="BA39" s="232">
        <v>963</v>
      </c>
      <c r="BB39" s="232">
        <f>+BA39+AZ39+AY39+AX39</f>
        <v>5400</v>
      </c>
      <c r="BC39" s="232">
        <f t="shared" ref="BC39:BI39" si="8">+BC17+BC38</f>
        <v>1410</v>
      </c>
      <c r="BD39" s="232">
        <f t="shared" si="8"/>
        <v>879</v>
      </c>
      <c r="BE39" s="232">
        <f t="shared" si="8"/>
        <v>873</v>
      </c>
      <c r="BF39" s="206">
        <f t="shared" si="8"/>
        <v>-2407</v>
      </c>
      <c r="BG39" s="232">
        <f t="shared" si="8"/>
        <v>755</v>
      </c>
      <c r="BH39" s="232">
        <f>+BH17+BH38</f>
        <v>896</v>
      </c>
      <c r="BI39" s="232">
        <f t="shared" si="8"/>
        <v>1576</v>
      </c>
      <c r="BJ39" s="232">
        <f>BJ17+BJ38</f>
        <v>930</v>
      </c>
      <c r="BK39" s="232">
        <f>BK17+BK38</f>
        <v>1061</v>
      </c>
      <c r="BL39" s="232">
        <f>BL17+BL38</f>
        <v>4463</v>
      </c>
      <c r="BM39" s="232">
        <v>1253</v>
      </c>
      <c r="BN39" s="232">
        <v>1178</v>
      </c>
      <c r="BO39" s="232">
        <v>1127</v>
      </c>
      <c r="BP39" s="232">
        <v>1351</v>
      </c>
      <c r="BQ39" s="232">
        <v>4909</v>
      </c>
      <c r="BR39" s="232">
        <v>4236</v>
      </c>
      <c r="BS39" s="347">
        <f>+BS17+BS38</f>
        <v>2322</v>
      </c>
      <c r="BU39" s="482"/>
    </row>
    <row r="40" spans="1:73" ht="37.35" customHeight="1">
      <c r="A40" s="497" t="s">
        <v>278</v>
      </c>
      <c r="B40" s="277"/>
      <c r="C40" s="294">
        <v>982</v>
      </c>
      <c r="D40" s="292">
        <v>1041</v>
      </c>
      <c r="E40" s="292">
        <v>1163</v>
      </c>
      <c r="F40" s="292">
        <v>1235</v>
      </c>
      <c r="G40" s="292">
        <v>4331</v>
      </c>
      <c r="H40" s="272"/>
      <c r="I40" s="294">
        <v>1095</v>
      </c>
      <c r="J40" s="292">
        <v>1269</v>
      </c>
      <c r="K40" s="292">
        <v>888</v>
      </c>
      <c r="L40" s="292">
        <v>911</v>
      </c>
      <c r="M40" s="292">
        <v>4163</v>
      </c>
      <c r="N40" s="393"/>
      <c r="O40" s="294">
        <v>673</v>
      </c>
      <c r="P40" s="292">
        <v>790</v>
      </c>
      <c r="Q40" s="292">
        <v>931</v>
      </c>
      <c r="R40" s="292">
        <v>1157</v>
      </c>
      <c r="S40" s="173">
        <v>3551</v>
      </c>
      <c r="T40" s="275"/>
      <c r="U40" s="294">
        <v>1304</v>
      </c>
      <c r="V40" s="292">
        <v>927</v>
      </c>
      <c r="W40" s="292">
        <v>968</v>
      </c>
      <c r="X40" s="292">
        <v>961</v>
      </c>
      <c r="Y40" s="173">
        <v>4160</v>
      </c>
      <c r="Z40" s="14"/>
      <c r="AA40" s="175">
        <v>771</v>
      </c>
      <c r="AB40" s="173">
        <v>929</v>
      </c>
      <c r="AC40" s="173">
        <v>888</v>
      </c>
      <c r="AD40" s="173">
        <v>828</v>
      </c>
      <c r="AE40" s="173">
        <v>3416</v>
      </c>
      <c r="AG40" s="175">
        <v>999</v>
      </c>
      <c r="AH40" s="191">
        <v>920</v>
      </c>
      <c r="AI40" s="191">
        <v>949</v>
      </c>
      <c r="AJ40" s="191">
        <f>3619-949-920-999</f>
        <v>751</v>
      </c>
      <c r="AK40" s="173">
        <v>3619</v>
      </c>
      <c r="AL40" s="278"/>
      <c r="AM40" s="48">
        <v>900</v>
      </c>
      <c r="AN40" s="48">
        <v>1031</v>
      </c>
      <c r="AO40" s="48">
        <v>1121</v>
      </c>
      <c r="AP40" s="394">
        <v>1406</v>
      </c>
      <c r="AQ40" s="394">
        <v>4458</v>
      </c>
      <c r="AR40" s="395"/>
      <c r="AS40" s="233">
        <v>1675</v>
      </c>
      <c r="AT40" s="233">
        <v>1482</v>
      </c>
      <c r="AU40" s="233">
        <v>1115</v>
      </c>
      <c r="AV40" s="233">
        <v>1202</v>
      </c>
      <c r="AW40" s="233">
        <v>5474</v>
      </c>
      <c r="AX40" s="233">
        <f>AX39</f>
        <v>1924</v>
      </c>
      <c r="AY40" s="233">
        <v>1515</v>
      </c>
      <c r="AZ40" s="233">
        <v>998</v>
      </c>
      <c r="BA40" s="233">
        <v>963</v>
      </c>
      <c r="BB40" s="233">
        <f>+BA40+AZ40+AY40+AX40</f>
        <v>5400</v>
      </c>
      <c r="BC40" s="233">
        <v>1410</v>
      </c>
      <c r="BD40" s="233">
        <v>879</v>
      </c>
      <c r="BE40" s="233">
        <v>873</v>
      </c>
      <c r="BF40" s="233">
        <v>401</v>
      </c>
      <c r="BG40" s="233">
        <v>3563</v>
      </c>
      <c r="BH40" s="233">
        <v>896</v>
      </c>
      <c r="BI40" s="233">
        <f>BI39</f>
        <v>1576</v>
      </c>
      <c r="BJ40" s="233">
        <f>BJ39</f>
        <v>930</v>
      </c>
      <c r="BK40" s="233">
        <f>BK39</f>
        <v>1061</v>
      </c>
      <c r="BL40" s="233">
        <f>BL39</f>
        <v>4463</v>
      </c>
      <c r="BM40" s="233">
        <v>1253</v>
      </c>
      <c r="BN40" s="233">
        <v>1178</v>
      </c>
      <c r="BO40" s="233">
        <v>1127</v>
      </c>
      <c r="BP40" s="233">
        <v>1351</v>
      </c>
      <c r="BQ40" s="233">
        <v>4909</v>
      </c>
      <c r="BR40" s="233">
        <v>4236</v>
      </c>
      <c r="BS40" s="348">
        <v>2322</v>
      </c>
      <c r="BU40" s="482"/>
    </row>
    <row r="41" spans="1:73" ht="42" customHeight="1">
      <c r="A41" s="337" t="s">
        <v>128</v>
      </c>
      <c r="B41" s="277"/>
      <c r="C41" s="292"/>
      <c r="D41" s="292"/>
      <c r="E41" s="292"/>
      <c r="F41" s="292"/>
      <c r="G41" s="292"/>
      <c r="H41" s="272"/>
      <c r="I41" s="292"/>
      <c r="J41" s="292"/>
      <c r="K41" s="292"/>
      <c r="L41" s="292"/>
      <c r="M41" s="292"/>
      <c r="N41" s="393"/>
      <c r="O41" s="292"/>
      <c r="P41" s="292"/>
      <c r="Q41" s="292"/>
      <c r="R41" s="292"/>
      <c r="S41" s="173"/>
      <c r="T41" s="275"/>
      <c r="U41" s="292"/>
      <c r="V41" s="292"/>
      <c r="W41" s="292"/>
      <c r="X41" s="292"/>
      <c r="Y41" s="173"/>
      <c r="Z41" s="14"/>
      <c r="AA41" s="173"/>
      <c r="AB41" s="173"/>
      <c r="AC41" s="173"/>
      <c r="AD41" s="173"/>
      <c r="AE41" s="173"/>
      <c r="AG41" s="173"/>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191"/>
      <c r="BU41" s="482"/>
    </row>
    <row r="42" spans="1:73" ht="42" customHeight="1">
      <c r="A42" s="277" t="s">
        <v>279</v>
      </c>
      <c r="B42" s="277"/>
      <c r="C42" s="292"/>
      <c r="D42" s="292"/>
      <c r="E42" s="292"/>
      <c r="F42" s="272"/>
      <c r="G42" s="272"/>
      <c r="H42" s="272"/>
      <c r="I42" s="292"/>
      <c r="J42" s="292"/>
      <c r="K42" s="292"/>
      <c r="L42" s="292"/>
      <c r="M42" s="292"/>
      <c r="N42" s="393"/>
      <c r="O42" s="292"/>
      <c r="P42" s="292"/>
      <c r="Q42" s="292"/>
      <c r="R42" s="292"/>
      <c r="S42" s="173"/>
      <c r="T42" s="275"/>
      <c r="U42" s="292"/>
      <c r="V42" s="292"/>
      <c r="W42" s="292"/>
      <c r="X42" s="292"/>
      <c r="Y42" s="173"/>
      <c r="Z42" s="14"/>
      <c r="AA42" s="173"/>
      <c r="AB42" s="173"/>
      <c r="AC42" s="173"/>
      <c r="AD42" s="173"/>
      <c r="AE42" s="173"/>
      <c r="AG42" s="173"/>
      <c r="AH42" s="191"/>
      <c r="AI42" s="191"/>
      <c r="AJ42" s="191"/>
      <c r="AK42" s="191"/>
      <c r="AL42" s="219"/>
      <c r="AM42" s="191"/>
      <c r="AN42" s="191"/>
      <c r="AO42" s="191"/>
      <c r="AP42" s="191"/>
      <c r="AQ42" s="191"/>
      <c r="AR42" s="219"/>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U42" s="482"/>
    </row>
    <row r="43" spans="1:73" ht="46.5" customHeight="1">
      <c r="A43" s="489" t="s">
        <v>280</v>
      </c>
      <c r="B43" s="289"/>
      <c r="C43" s="409">
        <v>1.77</v>
      </c>
      <c r="D43" s="288">
        <v>1.82</v>
      </c>
      <c r="E43" s="288">
        <v>1.88</v>
      </c>
      <c r="F43" s="288">
        <v>1.82</v>
      </c>
      <c r="G43" s="288">
        <v>1.82</v>
      </c>
      <c r="H43" s="289"/>
      <c r="I43" s="410">
        <v>1.46</v>
      </c>
      <c r="J43" s="411">
        <v>1.52</v>
      </c>
      <c r="K43" s="411">
        <v>1.49</v>
      </c>
      <c r="L43" s="411">
        <v>1.4</v>
      </c>
      <c r="M43" s="411">
        <v>1.47</v>
      </c>
      <c r="N43" s="412"/>
      <c r="O43" s="410">
        <v>1.33</v>
      </c>
      <c r="P43" s="411">
        <v>1.32</v>
      </c>
      <c r="Q43" s="411">
        <v>1.18</v>
      </c>
      <c r="R43" s="411">
        <v>1.34</v>
      </c>
      <c r="S43" s="298">
        <v>1.3</v>
      </c>
      <c r="U43" s="410">
        <v>1.33</v>
      </c>
      <c r="V43" s="411">
        <v>1.34</v>
      </c>
      <c r="W43" s="411">
        <v>1.42</v>
      </c>
      <c r="X43" s="411">
        <v>1.84</v>
      </c>
      <c r="Y43" s="298">
        <v>1.52</v>
      </c>
      <c r="Z43" s="413"/>
      <c r="AA43" s="297">
        <v>1.83</v>
      </c>
      <c r="AB43" s="298">
        <v>1.96</v>
      </c>
      <c r="AC43" s="298">
        <v>1.82</v>
      </c>
      <c r="AD43" s="298">
        <v>1.79</v>
      </c>
      <c r="AE43" s="298">
        <v>1.85</v>
      </c>
      <c r="AG43" s="297">
        <v>1.76</v>
      </c>
      <c r="AH43" s="41">
        <v>1.85</v>
      </c>
      <c r="AI43" s="41">
        <v>1.53</v>
      </c>
      <c r="AJ43" s="41">
        <v>1.83</v>
      </c>
      <c r="AK43" s="41">
        <v>1.74</v>
      </c>
      <c r="AL43" s="278"/>
      <c r="AM43" s="41">
        <v>1.58</v>
      </c>
      <c r="AN43" s="41">
        <v>1.59</v>
      </c>
      <c r="AO43" s="41">
        <v>1.61</v>
      </c>
      <c r="AP43" s="298">
        <v>1.68</v>
      </c>
      <c r="AQ43" s="298">
        <v>1.62</v>
      </c>
      <c r="AR43" s="413"/>
      <c r="AS43" s="211">
        <v>1.93</v>
      </c>
      <c r="AT43" s="211">
        <v>2.2999999999999998</v>
      </c>
      <c r="AU43" s="211">
        <v>2.48</v>
      </c>
      <c r="AV43" s="211">
        <v>2.33</v>
      </c>
      <c r="AW43" s="211">
        <v>2.2599999999999998</v>
      </c>
      <c r="AX43" s="211">
        <v>2.4</v>
      </c>
      <c r="AY43" s="211">
        <v>2.42</v>
      </c>
      <c r="AZ43" s="211">
        <v>2.38</v>
      </c>
      <c r="BA43" s="211">
        <v>2.34</v>
      </c>
      <c r="BB43" s="211">
        <v>2.38</v>
      </c>
      <c r="BC43" s="211">
        <v>3.08</v>
      </c>
      <c r="BD43" s="211">
        <v>2.98</v>
      </c>
      <c r="BE43" s="211">
        <v>2.97</v>
      </c>
      <c r="BF43" s="211">
        <v>2.87</v>
      </c>
      <c r="BG43" s="211">
        <v>2.98</v>
      </c>
      <c r="BH43" s="211">
        <v>3.01</v>
      </c>
      <c r="BI43" s="211">
        <v>3</v>
      </c>
      <c r="BJ43" s="211">
        <v>3.24</v>
      </c>
      <c r="BK43" s="211">
        <v>3.03</v>
      </c>
      <c r="BL43" s="211">
        <v>3.07</v>
      </c>
      <c r="BM43" s="211">
        <v>3.15</v>
      </c>
      <c r="BN43" s="211">
        <v>3.16</v>
      </c>
      <c r="BO43" s="211">
        <v>3.12</v>
      </c>
      <c r="BP43" s="211">
        <v>3.19</v>
      </c>
      <c r="BQ43" s="211">
        <v>3.16</v>
      </c>
      <c r="BR43" s="211">
        <v>1.91</v>
      </c>
      <c r="BS43" s="211">
        <v>2.44</v>
      </c>
      <c r="BU43" s="482"/>
    </row>
    <row r="44" spans="1:73" ht="12" customHeight="1">
      <c r="A44" s="527" t="s">
        <v>281</v>
      </c>
      <c r="B44" s="372"/>
      <c r="C44" s="27"/>
      <c r="D44" s="27"/>
      <c r="E44" s="27"/>
      <c r="F44" s="172"/>
      <c r="G44" s="172"/>
      <c r="H44" s="414"/>
      <c r="I44" s="27"/>
      <c r="J44" s="27"/>
      <c r="K44" s="27"/>
      <c r="L44" s="172"/>
      <c r="M44" s="172"/>
      <c r="N44" s="414"/>
      <c r="O44" s="310"/>
      <c r="P44" s="310"/>
      <c r="Q44" s="310"/>
      <c r="R44" s="172"/>
      <c r="S44" s="415"/>
      <c r="U44" s="310"/>
      <c r="V44" s="310"/>
      <c r="W44" s="310"/>
      <c r="X44" s="310"/>
      <c r="Y44" s="318"/>
      <c r="AA44" s="310"/>
      <c r="AB44" s="310"/>
      <c r="AC44" s="310"/>
      <c r="AD44" s="310"/>
      <c r="AE44" s="310"/>
      <c r="AG44" s="310"/>
      <c r="AH44" s="416"/>
      <c r="AI44" s="43"/>
      <c r="AJ44" s="43"/>
      <c r="AK44" s="374"/>
      <c r="AO44" s="374"/>
      <c r="AS44" s="417"/>
      <c r="AT44" s="417"/>
      <c r="AU44" s="417"/>
      <c r="AV44" s="417"/>
      <c r="AW44" s="417"/>
      <c r="AX44" s="417"/>
      <c r="AY44" s="417"/>
      <c r="AZ44" s="417"/>
      <c r="BA44" s="417"/>
      <c r="BB44" s="417"/>
      <c r="BC44" s="417"/>
      <c r="BD44" s="417"/>
      <c r="BE44" s="417"/>
      <c r="BF44" s="417"/>
      <c r="BG44" s="417"/>
      <c r="BH44" s="417"/>
      <c r="BI44" s="417"/>
      <c r="BJ44" s="417"/>
      <c r="BK44" s="417"/>
      <c r="BL44" s="417"/>
      <c r="BM44" s="417"/>
      <c r="BN44" s="417"/>
      <c r="BO44" s="417"/>
      <c r="BP44" s="417"/>
      <c r="BQ44" s="417"/>
      <c r="BR44" s="417"/>
      <c r="BS44" s="417"/>
      <c r="BU44" s="482"/>
    </row>
    <row r="45" spans="1:73">
      <c r="A45" s="500" t="s">
        <v>133</v>
      </c>
      <c r="B45" s="255"/>
      <c r="C45" s="28">
        <v>206</v>
      </c>
      <c r="D45" s="29">
        <v>213</v>
      </c>
      <c r="E45" s="29">
        <v>210</v>
      </c>
      <c r="F45" s="29">
        <v>189</v>
      </c>
      <c r="G45" s="29">
        <v>818</v>
      </c>
      <c r="H45" s="255"/>
      <c r="I45" s="28">
        <v>226</v>
      </c>
      <c r="J45" s="29">
        <v>228</v>
      </c>
      <c r="K45" s="29">
        <v>234</v>
      </c>
      <c r="L45" s="29">
        <v>222</v>
      </c>
      <c r="M45" s="29">
        <v>910</v>
      </c>
      <c r="N45" s="418"/>
      <c r="O45" s="28">
        <v>243</v>
      </c>
      <c r="P45" s="29">
        <v>247</v>
      </c>
      <c r="Q45" s="29">
        <v>246</v>
      </c>
      <c r="R45" s="29">
        <v>257</v>
      </c>
      <c r="S45" s="174">
        <v>993</v>
      </c>
      <c r="U45" s="28">
        <v>269</v>
      </c>
      <c r="V45" s="29">
        <v>262</v>
      </c>
      <c r="W45" s="29">
        <v>261</v>
      </c>
      <c r="X45" s="29">
        <v>280</v>
      </c>
      <c r="Y45" s="29">
        <f>U45+V45+W45+X45</f>
        <v>1072</v>
      </c>
      <c r="Z45" s="418"/>
      <c r="AA45" s="28">
        <v>293</v>
      </c>
      <c r="AB45" s="29">
        <v>287</v>
      </c>
      <c r="AC45" s="29">
        <v>288</v>
      </c>
      <c r="AD45" s="29">
        <v>305</v>
      </c>
      <c r="AE45" s="29">
        <v>1173</v>
      </c>
      <c r="AG45" s="28">
        <v>314</v>
      </c>
      <c r="AH45" s="217">
        <v>319</v>
      </c>
      <c r="AI45" s="217">
        <v>330</v>
      </c>
      <c r="AJ45" s="217">
        <v>335</v>
      </c>
      <c r="AK45" s="217">
        <v>1298</v>
      </c>
      <c r="AL45" s="278"/>
      <c r="AM45" s="217">
        <v>325</v>
      </c>
      <c r="AN45" s="217">
        <v>322</v>
      </c>
      <c r="AO45" s="217">
        <v>309</v>
      </c>
      <c r="AP45" s="386">
        <v>408</v>
      </c>
      <c r="AQ45" s="386">
        <v>1364</v>
      </c>
      <c r="AR45" s="384"/>
      <c r="AS45" s="232">
        <v>356</v>
      </c>
      <c r="AT45" s="232">
        <v>360</v>
      </c>
      <c r="AU45" s="232">
        <v>363</v>
      </c>
      <c r="AV45" s="232">
        <v>356</v>
      </c>
      <c r="AW45" s="232">
        <v>1435</v>
      </c>
      <c r="AX45" s="232">
        <v>364</v>
      </c>
      <c r="AY45" s="232">
        <v>377</v>
      </c>
      <c r="AZ45" s="232">
        <v>376</v>
      </c>
      <c r="BA45" s="232">
        <v>387</v>
      </c>
      <c r="BB45" s="232">
        <v>1504</v>
      </c>
      <c r="BC45" s="232">
        <v>413</v>
      </c>
      <c r="BD45" s="232">
        <v>435</v>
      </c>
      <c r="BE45" s="232">
        <v>427</v>
      </c>
      <c r="BF45" s="232">
        <v>400</v>
      </c>
      <c r="BG45" s="232">
        <v>1675</v>
      </c>
      <c r="BH45" s="232">
        <v>395</v>
      </c>
      <c r="BI45" s="232">
        <v>406</v>
      </c>
      <c r="BJ45" s="232">
        <v>397</v>
      </c>
      <c r="BK45" s="232">
        <v>409</v>
      </c>
      <c r="BL45" s="232">
        <f t="shared" ref="BL45:BL60" si="9">+BK45+BJ45+BI45+BH45</f>
        <v>1607</v>
      </c>
      <c r="BM45" s="232">
        <v>445</v>
      </c>
      <c r="BN45" s="232">
        <v>445</v>
      </c>
      <c r="BO45" s="232">
        <v>444</v>
      </c>
      <c r="BP45" s="232">
        <v>419</v>
      </c>
      <c r="BQ45" s="232">
        <v>1753</v>
      </c>
      <c r="BR45" s="232">
        <v>478</v>
      </c>
      <c r="BS45" s="347">
        <v>478</v>
      </c>
      <c r="BU45" s="482"/>
    </row>
    <row r="46" spans="1:73">
      <c r="A46" s="500" t="s">
        <v>134</v>
      </c>
      <c r="B46" s="255"/>
      <c r="C46" s="28">
        <v>750</v>
      </c>
      <c r="D46" s="29">
        <v>736</v>
      </c>
      <c r="E46" s="29">
        <v>752</v>
      </c>
      <c r="F46" s="29">
        <v>784</v>
      </c>
      <c r="G46" s="29">
        <v>3022</v>
      </c>
      <c r="H46" s="255"/>
      <c r="I46" s="28">
        <v>741</v>
      </c>
      <c r="J46" s="29">
        <v>711</v>
      </c>
      <c r="K46" s="29">
        <v>760</v>
      </c>
      <c r="L46" s="29">
        <v>780</v>
      </c>
      <c r="M46" s="29">
        <v>2992</v>
      </c>
      <c r="N46" s="418"/>
      <c r="O46" s="28">
        <v>698</v>
      </c>
      <c r="P46" s="29">
        <v>760</v>
      </c>
      <c r="Q46" s="29">
        <v>760</v>
      </c>
      <c r="R46" s="29">
        <v>805</v>
      </c>
      <c r="S46" s="174">
        <v>3023</v>
      </c>
      <c r="U46" s="28">
        <v>751</v>
      </c>
      <c r="V46" s="29">
        <v>813</v>
      </c>
      <c r="W46" s="29">
        <v>782</v>
      </c>
      <c r="X46" s="29">
        <v>864</v>
      </c>
      <c r="Y46" s="29">
        <f t="shared" ref="Y46:Y61" si="10">U46+V46+W46+X46</f>
        <v>3210</v>
      </c>
      <c r="Z46" s="418"/>
      <c r="AA46" s="28">
        <v>782</v>
      </c>
      <c r="AB46" s="29">
        <v>902</v>
      </c>
      <c r="AC46" s="29">
        <v>835</v>
      </c>
      <c r="AD46" s="29">
        <v>805</v>
      </c>
      <c r="AE46" s="29">
        <v>3324</v>
      </c>
      <c r="AG46" s="28">
        <v>839</v>
      </c>
      <c r="AH46" s="217">
        <v>871</v>
      </c>
      <c r="AI46" s="217">
        <v>948</v>
      </c>
      <c r="AJ46" s="217">
        <v>936</v>
      </c>
      <c r="AK46" s="40">
        <v>3594</v>
      </c>
      <c r="AL46" s="278"/>
      <c r="AM46" s="40">
        <v>890</v>
      </c>
      <c r="AN46" s="40">
        <v>932</v>
      </c>
      <c r="AO46" s="40">
        <v>952</v>
      </c>
      <c r="AP46" s="383">
        <v>1061</v>
      </c>
      <c r="AQ46" s="383">
        <v>3835</v>
      </c>
      <c r="AR46" s="384"/>
      <c r="AS46" s="210">
        <v>955</v>
      </c>
      <c r="AT46" s="210">
        <v>1114</v>
      </c>
      <c r="AU46" s="210">
        <v>1083</v>
      </c>
      <c r="AV46" s="210">
        <v>1097</v>
      </c>
      <c r="AW46" s="210">
        <v>4249</v>
      </c>
      <c r="AX46" s="210">
        <v>988</v>
      </c>
      <c r="AY46" s="210">
        <v>1332</v>
      </c>
      <c r="AZ46" s="210">
        <v>1168</v>
      </c>
      <c r="BA46" s="210">
        <v>1344</v>
      </c>
      <c r="BB46" s="210">
        <v>4832</v>
      </c>
      <c r="BC46" s="210">
        <v>1267</v>
      </c>
      <c r="BD46" s="210">
        <v>1458</v>
      </c>
      <c r="BE46" s="210">
        <v>1340</v>
      </c>
      <c r="BF46" s="210">
        <v>1410</v>
      </c>
      <c r="BG46" s="210">
        <v>5475</v>
      </c>
      <c r="BH46" s="210">
        <v>1290</v>
      </c>
      <c r="BI46" s="210">
        <v>1478</v>
      </c>
      <c r="BJ46" s="210">
        <v>1473</v>
      </c>
      <c r="BK46" s="210">
        <v>1650</v>
      </c>
      <c r="BL46" s="210">
        <f t="shared" si="9"/>
        <v>5891</v>
      </c>
      <c r="BM46" s="210">
        <v>1446</v>
      </c>
      <c r="BN46" s="210">
        <v>1498</v>
      </c>
      <c r="BO46" s="210">
        <v>1505</v>
      </c>
      <c r="BP46" s="210">
        <v>1854</v>
      </c>
      <c r="BQ46" s="210">
        <v>6303</v>
      </c>
      <c r="BR46" s="210">
        <v>1529</v>
      </c>
      <c r="BS46" s="349">
        <v>2032</v>
      </c>
      <c r="BU46" s="482"/>
    </row>
    <row r="47" spans="1:73">
      <c r="A47" s="500" t="s">
        <v>282</v>
      </c>
      <c r="B47" s="255"/>
      <c r="C47" s="28">
        <v>1496</v>
      </c>
      <c r="D47" s="29">
        <v>1413</v>
      </c>
      <c r="E47" s="29">
        <v>1543</v>
      </c>
      <c r="F47" s="29">
        <v>1418</v>
      </c>
      <c r="G47" s="29">
        <v>5870</v>
      </c>
      <c r="H47" s="255"/>
      <c r="I47" s="28">
        <v>1320</v>
      </c>
      <c r="J47" s="29">
        <v>1488</v>
      </c>
      <c r="K47" s="29">
        <v>1240</v>
      </c>
      <c r="L47" s="29">
        <v>1433</v>
      </c>
      <c r="M47" s="29">
        <v>5481</v>
      </c>
      <c r="N47" s="418"/>
      <c r="O47" s="28">
        <v>1400</v>
      </c>
      <c r="P47" s="29">
        <v>1416</v>
      </c>
      <c r="Q47" s="29">
        <v>1179</v>
      </c>
      <c r="R47" s="29">
        <v>1487</v>
      </c>
      <c r="S47" s="174">
        <v>5482</v>
      </c>
      <c r="U47" s="28">
        <v>1371</v>
      </c>
      <c r="V47" s="29">
        <v>1417</v>
      </c>
      <c r="W47" s="29">
        <v>1596</v>
      </c>
      <c r="X47" s="29">
        <v>1447</v>
      </c>
      <c r="Y47" s="29">
        <f t="shared" si="10"/>
        <v>5831</v>
      </c>
      <c r="Z47" s="418"/>
      <c r="AA47" s="28">
        <v>1405</v>
      </c>
      <c r="AB47" s="29">
        <v>1144</v>
      </c>
      <c r="AC47" s="29">
        <v>1292</v>
      </c>
      <c r="AD47" s="29">
        <v>1471</v>
      </c>
      <c r="AE47" s="29">
        <v>5312</v>
      </c>
      <c r="AG47" s="28">
        <v>1591</v>
      </c>
      <c r="AH47" s="217">
        <v>1550</v>
      </c>
      <c r="AI47" s="217">
        <v>1515</v>
      </c>
      <c r="AJ47" s="217">
        <v>1540</v>
      </c>
      <c r="AK47" s="40">
        <v>6196</v>
      </c>
      <c r="AL47" s="278"/>
      <c r="AM47" s="40">
        <v>1524</v>
      </c>
      <c r="AN47" s="40">
        <v>1377</v>
      </c>
      <c r="AO47" s="40">
        <v>1719</v>
      </c>
      <c r="AP47" s="383">
        <v>1706</v>
      </c>
      <c r="AQ47" s="383">
        <v>6326</v>
      </c>
      <c r="AR47" s="384"/>
      <c r="AS47" s="210">
        <v>2347</v>
      </c>
      <c r="AT47" s="210">
        <v>2673</v>
      </c>
      <c r="AU47" s="210">
        <v>2541</v>
      </c>
      <c r="AV47" s="210">
        <v>2681</v>
      </c>
      <c r="AW47" s="210">
        <v>10242</v>
      </c>
      <c r="AX47" s="210">
        <v>3310</v>
      </c>
      <c r="AY47" s="210">
        <v>3640</v>
      </c>
      <c r="AZ47" s="210">
        <v>3291</v>
      </c>
      <c r="BA47" s="210">
        <v>3446</v>
      </c>
      <c r="BB47" s="210">
        <v>13687</v>
      </c>
      <c r="BC47" s="210">
        <v>3721</v>
      </c>
      <c r="BD47" s="210">
        <v>3270</v>
      </c>
      <c r="BE47" s="210">
        <v>2906</v>
      </c>
      <c r="BF47" s="210">
        <v>3058</v>
      </c>
      <c r="BG47" s="210">
        <v>12955</v>
      </c>
      <c r="BH47" s="210">
        <v>3033</v>
      </c>
      <c r="BI47" s="210">
        <v>2962</v>
      </c>
      <c r="BJ47" s="210">
        <v>2912</v>
      </c>
      <c r="BK47" s="210">
        <v>2743</v>
      </c>
      <c r="BL47" s="210">
        <f t="shared" si="9"/>
        <v>11650</v>
      </c>
      <c r="BM47" s="210">
        <v>3191</v>
      </c>
      <c r="BN47" s="210">
        <v>2931</v>
      </c>
      <c r="BO47" s="210">
        <v>2916</v>
      </c>
      <c r="BP47" s="210">
        <v>3518</v>
      </c>
      <c r="BQ47" s="210">
        <v>12556</v>
      </c>
      <c r="BR47" s="210">
        <v>4013</v>
      </c>
      <c r="BS47" s="349">
        <v>4469</v>
      </c>
      <c r="BU47" s="482"/>
    </row>
    <row r="48" spans="1:73">
      <c r="A48" s="492" t="s">
        <v>283</v>
      </c>
      <c r="B48" s="255"/>
      <c r="C48" s="28">
        <v>952</v>
      </c>
      <c r="D48" s="29">
        <v>874</v>
      </c>
      <c r="E48" s="29">
        <v>998</v>
      </c>
      <c r="F48" s="29">
        <v>864</v>
      </c>
      <c r="G48" s="29">
        <v>3688</v>
      </c>
      <c r="H48" s="255"/>
      <c r="I48" s="28">
        <v>799</v>
      </c>
      <c r="J48" s="29">
        <v>972</v>
      </c>
      <c r="K48" s="29">
        <v>713</v>
      </c>
      <c r="L48" s="29">
        <v>868</v>
      </c>
      <c r="M48" s="29">
        <v>3352</v>
      </c>
      <c r="N48" s="418"/>
      <c r="O48" s="28">
        <v>885</v>
      </c>
      <c r="P48" s="29">
        <v>902</v>
      </c>
      <c r="Q48" s="29">
        <v>707</v>
      </c>
      <c r="R48" s="29">
        <v>975</v>
      </c>
      <c r="S48" s="174">
        <v>3469</v>
      </c>
      <c r="U48" s="28">
        <v>853</v>
      </c>
      <c r="V48" s="29">
        <v>906</v>
      </c>
      <c r="W48" s="29">
        <v>1059</v>
      </c>
      <c r="X48" s="29">
        <v>932</v>
      </c>
      <c r="Y48" s="29">
        <f t="shared" si="10"/>
        <v>3750</v>
      </c>
      <c r="Z48" s="418"/>
      <c r="AA48" s="28">
        <v>866</v>
      </c>
      <c r="AB48" s="29">
        <v>611</v>
      </c>
      <c r="AC48" s="29">
        <v>701</v>
      </c>
      <c r="AD48" s="29">
        <v>862</v>
      </c>
      <c r="AE48" s="29">
        <v>3040</v>
      </c>
      <c r="AG48" s="28">
        <v>992</v>
      </c>
      <c r="AH48" s="217">
        <v>996</v>
      </c>
      <c r="AI48" s="217">
        <v>900</v>
      </c>
      <c r="AJ48" s="217">
        <v>890</v>
      </c>
      <c r="AK48" s="40">
        <v>3778</v>
      </c>
      <c r="AL48" s="278"/>
      <c r="AM48" s="40">
        <v>919</v>
      </c>
      <c r="AN48" s="40">
        <v>810</v>
      </c>
      <c r="AO48" s="40">
        <v>1145</v>
      </c>
      <c r="AP48" s="383">
        <v>1100</v>
      </c>
      <c r="AQ48" s="383">
        <v>3974</v>
      </c>
      <c r="AR48" s="384"/>
      <c r="AS48" s="210">
        <v>1667</v>
      </c>
      <c r="AT48" s="210">
        <v>1989</v>
      </c>
      <c r="AU48" s="210">
        <v>1707</v>
      </c>
      <c r="AV48" s="210">
        <v>1769</v>
      </c>
      <c r="AW48" s="210">
        <v>7132</v>
      </c>
      <c r="AX48" s="210">
        <v>2204</v>
      </c>
      <c r="AY48" s="210">
        <v>2420</v>
      </c>
      <c r="AZ48" s="210">
        <v>2077</v>
      </c>
      <c r="BA48" s="210">
        <v>2158</v>
      </c>
      <c r="BB48" s="210">
        <v>8859</v>
      </c>
      <c r="BC48" s="210">
        <v>2211</v>
      </c>
      <c r="BD48" s="210">
        <v>1908</v>
      </c>
      <c r="BE48" s="210">
        <v>1678</v>
      </c>
      <c r="BF48" s="210">
        <v>1915</v>
      </c>
      <c r="BG48" s="210">
        <v>7712</v>
      </c>
      <c r="BH48" s="210">
        <v>1940</v>
      </c>
      <c r="BI48" s="210">
        <v>1921</v>
      </c>
      <c r="BJ48" s="210">
        <v>1829</v>
      </c>
      <c r="BK48" s="210">
        <v>1749</v>
      </c>
      <c r="BL48" s="210">
        <f t="shared" si="9"/>
        <v>7439</v>
      </c>
      <c r="BM48" s="210">
        <v>2050</v>
      </c>
      <c r="BN48" s="210">
        <v>1902</v>
      </c>
      <c r="BO48" s="210">
        <v>1862</v>
      </c>
      <c r="BP48" s="210">
        <v>2521</v>
      </c>
      <c r="BQ48" s="210">
        <v>8335</v>
      </c>
      <c r="BR48" s="210">
        <v>2889</v>
      </c>
      <c r="BS48" s="349">
        <v>3364</v>
      </c>
      <c r="BU48" s="482"/>
    </row>
    <row r="49" spans="1:73">
      <c r="A49" s="492" t="s">
        <v>284</v>
      </c>
      <c r="B49" s="255"/>
      <c r="C49" s="30">
        <v>210</v>
      </c>
      <c r="D49" s="31">
        <v>187</v>
      </c>
      <c r="E49" s="31">
        <v>204</v>
      </c>
      <c r="F49" s="31">
        <v>181</v>
      </c>
      <c r="G49" s="29">
        <v>782</v>
      </c>
      <c r="H49" s="255"/>
      <c r="I49" s="28">
        <v>178</v>
      </c>
      <c r="J49" s="29">
        <v>174</v>
      </c>
      <c r="K49" s="29">
        <v>183</v>
      </c>
      <c r="L49" s="29">
        <v>200</v>
      </c>
      <c r="M49" s="29">
        <v>735</v>
      </c>
      <c r="N49" s="418"/>
      <c r="O49" s="28">
        <v>198</v>
      </c>
      <c r="P49" s="29">
        <v>189</v>
      </c>
      <c r="Q49" s="29">
        <v>172</v>
      </c>
      <c r="R49" s="29">
        <v>186</v>
      </c>
      <c r="S49" s="174">
        <v>745</v>
      </c>
      <c r="U49" s="28">
        <v>167</v>
      </c>
      <c r="V49" s="29">
        <v>190</v>
      </c>
      <c r="W49" s="29">
        <v>222</v>
      </c>
      <c r="X49" s="29">
        <v>196</v>
      </c>
      <c r="Y49" s="29">
        <f t="shared" si="10"/>
        <v>775</v>
      </c>
      <c r="Z49" s="418"/>
      <c r="AA49" s="28">
        <v>185</v>
      </c>
      <c r="AB49" s="29">
        <v>187</v>
      </c>
      <c r="AC49" s="29">
        <v>228</v>
      </c>
      <c r="AD49" s="29">
        <v>203</v>
      </c>
      <c r="AE49" s="29">
        <v>803</v>
      </c>
      <c r="AG49" s="28">
        <v>234</v>
      </c>
      <c r="AH49" s="217">
        <v>195</v>
      </c>
      <c r="AI49" s="217">
        <v>255</v>
      </c>
      <c r="AJ49" s="217">
        <v>255</v>
      </c>
      <c r="AK49" s="40">
        <v>939</v>
      </c>
      <c r="AL49" s="278"/>
      <c r="AM49" s="40">
        <v>250</v>
      </c>
      <c r="AN49" s="40">
        <v>243</v>
      </c>
      <c r="AO49" s="40">
        <v>235</v>
      </c>
      <c r="AP49" s="383">
        <v>260</v>
      </c>
      <c r="AQ49" s="383">
        <v>988</v>
      </c>
      <c r="AR49" s="384"/>
      <c r="AS49" s="210">
        <v>296</v>
      </c>
      <c r="AT49" s="210">
        <v>299</v>
      </c>
      <c r="AU49" s="210">
        <v>351</v>
      </c>
      <c r="AV49" s="210">
        <v>284</v>
      </c>
      <c r="AW49" s="210">
        <v>1230</v>
      </c>
      <c r="AX49" s="210">
        <v>482</v>
      </c>
      <c r="AY49" s="210">
        <v>450</v>
      </c>
      <c r="AZ49" s="210">
        <v>574</v>
      </c>
      <c r="BA49" s="210">
        <v>415</v>
      </c>
      <c r="BB49" s="210">
        <v>1921</v>
      </c>
      <c r="BC49" s="210">
        <v>684</v>
      </c>
      <c r="BD49" s="210">
        <v>602</v>
      </c>
      <c r="BE49" s="210">
        <v>573</v>
      </c>
      <c r="BF49" s="210">
        <v>365</v>
      </c>
      <c r="BG49" s="210">
        <v>2224</v>
      </c>
      <c r="BH49" s="210">
        <v>465</v>
      </c>
      <c r="BI49" s="210">
        <v>453</v>
      </c>
      <c r="BJ49" s="210">
        <v>462</v>
      </c>
      <c r="BK49" s="210">
        <v>319</v>
      </c>
      <c r="BL49" s="210">
        <f t="shared" si="9"/>
        <v>1699</v>
      </c>
      <c r="BM49" s="210">
        <v>488</v>
      </c>
      <c r="BN49" s="210">
        <v>432</v>
      </c>
      <c r="BO49" s="210">
        <v>490</v>
      </c>
      <c r="BP49" s="210">
        <v>404</v>
      </c>
      <c r="BQ49" s="210">
        <v>1814</v>
      </c>
      <c r="BR49" s="210">
        <v>531</v>
      </c>
      <c r="BS49" s="349">
        <v>492</v>
      </c>
      <c r="BU49" s="482"/>
    </row>
    <row r="50" spans="1:73">
      <c r="A50" s="500" t="s">
        <v>285</v>
      </c>
      <c r="B50" s="255"/>
      <c r="C50" s="28">
        <v>341</v>
      </c>
      <c r="D50" s="29">
        <v>347</v>
      </c>
      <c r="E50" s="29">
        <v>333</v>
      </c>
      <c r="F50" s="29">
        <v>357</v>
      </c>
      <c r="G50" s="29">
        <v>1378</v>
      </c>
      <c r="H50" s="255"/>
      <c r="I50" s="28">
        <v>320</v>
      </c>
      <c r="J50" s="29">
        <v>352</v>
      </c>
      <c r="K50" s="29">
        <v>345</v>
      </c>
      <c r="L50" s="29">
        <v>403</v>
      </c>
      <c r="M50" s="29">
        <v>1420</v>
      </c>
      <c r="N50" s="418"/>
      <c r="O50" s="28">
        <v>329</v>
      </c>
      <c r="P50" s="29">
        <v>349</v>
      </c>
      <c r="Q50" s="29">
        <v>324</v>
      </c>
      <c r="R50" s="29">
        <v>390</v>
      </c>
      <c r="S50" s="174">
        <v>1392</v>
      </c>
      <c r="U50" s="28">
        <v>353</v>
      </c>
      <c r="V50" s="29">
        <v>360</v>
      </c>
      <c r="W50" s="29">
        <v>362</v>
      </c>
      <c r="X50" s="29">
        <v>456</v>
      </c>
      <c r="Y50" s="29">
        <f t="shared" si="10"/>
        <v>1531</v>
      </c>
      <c r="Z50" s="418"/>
      <c r="AA50" s="28">
        <v>369</v>
      </c>
      <c r="AB50" s="29">
        <v>419</v>
      </c>
      <c r="AC50" s="29">
        <v>406</v>
      </c>
      <c r="AD50" s="29">
        <v>455</v>
      </c>
      <c r="AE50" s="29">
        <v>1649</v>
      </c>
      <c r="AG50" s="28">
        <v>389</v>
      </c>
      <c r="AH50" s="217">
        <v>434</v>
      </c>
      <c r="AI50" s="217">
        <v>458</v>
      </c>
      <c r="AJ50" s="217">
        <v>486</v>
      </c>
      <c r="AK50" s="40">
        <v>1767</v>
      </c>
      <c r="AL50" s="278"/>
      <c r="AM50" s="40">
        <v>430</v>
      </c>
      <c r="AN50" s="40">
        <v>413</v>
      </c>
      <c r="AO50" s="40">
        <v>416</v>
      </c>
      <c r="AP50" s="383">
        <v>457</v>
      </c>
      <c r="AQ50" s="383">
        <v>1716</v>
      </c>
      <c r="AR50" s="384"/>
      <c r="AS50" s="210">
        <v>425</v>
      </c>
      <c r="AT50" s="210">
        <v>457</v>
      </c>
      <c r="AU50" s="210">
        <v>457</v>
      </c>
      <c r="AV50" s="210">
        <v>545</v>
      </c>
      <c r="AW50" s="210">
        <v>1884</v>
      </c>
      <c r="AX50" s="210">
        <v>476</v>
      </c>
      <c r="AY50" s="210">
        <v>530</v>
      </c>
      <c r="AZ50" s="210">
        <v>548</v>
      </c>
      <c r="BA50" s="210">
        <v>684</v>
      </c>
      <c r="BB50" s="210">
        <v>2238</v>
      </c>
      <c r="BC50" s="210">
        <v>580</v>
      </c>
      <c r="BD50" s="210">
        <v>645</v>
      </c>
      <c r="BE50" s="210">
        <v>659</v>
      </c>
      <c r="BF50" s="210">
        <v>754</v>
      </c>
      <c r="BG50" s="210">
        <v>2638</v>
      </c>
      <c r="BH50" s="210">
        <v>636</v>
      </c>
      <c r="BI50" s="210">
        <v>674</v>
      </c>
      <c r="BJ50" s="210">
        <v>660</v>
      </c>
      <c r="BK50" s="210">
        <v>823</v>
      </c>
      <c r="BL50" s="210">
        <f t="shared" si="9"/>
        <v>2793</v>
      </c>
      <c r="BM50" s="210">
        <v>665</v>
      </c>
      <c r="BN50" s="210">
        <v>685</v>
      </c>
      <c r="BO50" s="210">
        <v>708</v>
      </c>
      <c r="BP50" s="210">
        <v>718</v>
      </c>
      <c r="BQ50" s="210">
        <v>2776</v>
      </c>
      <c r="BR50" s="210">
        <v>654</v>
      </c>
      <c r="BS50" s="349">
        <v>707</v>
      </c>
      <c r="BU50" s="482"/>
    </row>
    <row r="51" spans="1:73">
      <c r="A51" s="492" t="s">
        <v>286</v>
      </c>
      <c r="B51" s="255"/>
      <c r="C51" s="30">
        <v>57</v>
      </c>
      <c r="D51" s="31">
        <v>57</v>
      </c>
      <c r="E51" s="31">
        <v>52</v>
      </c>
      <c r="F51" s="31">
        <v>68</v>
      </c>
      <c r="G51" s="29">
        <v>234</v>
      </c>
      <c r="H51" s="255"/>
      <c r="I51" s="30">
        <v>58</v>
      </c>
      <c r="J51" s="31">
        <v>54</v>
      </c>
      <c r="K51" s="31">
        <v>54</v>
      </c>
      <c r="L51" s="29">
        <v>67</v>
      </c>
      <c r="M51" s="29">
        <v>233</v>
      </c>
      <c r="N51" s="418"/>
      <c r="O51" s="28">
        <v>51</v>
      </c>
      <c r="P51" s="29">
        <v>52</v>
      </c>
      <c r="Q51" s="29">
        <v>57</v>
      </c>
      <c r="R51" s="29">
        <v>68</v>
      </c>
      <c r="S51" s="174">
        <v>228</v>
      </c>
      <c r="U51" s="28">
        <v>52</v>
      </c>
      <c r="V51" s="29">
        <v>56</v>
      </c>
      <c r="W51" s="29">
        <v>53</v>
      </c>
      <c r="X51" s="29">
        <v>54</v>
      </c>
      <c r="Y51" s="29">
        <f t="shared" si="10"/>
        <v>215</v>
      </c>
      <c r="Z51" s="418"/>
      <c r="AA51" s="28">
        <v>50</v>
      </c>
      <c r="AB51" s="29">
        <v>53</v>
      </c>
      <c r="AC51" s="29">
        <v>55</v>
      </c>
      <c r="AD51" s="29">
        <v>58</v>
      </c>
      <c r="AE51" s="29">
        <v>216</v>
      </c>
      <c r="AG51" s="28">
        <v>59</v>
      </c>
      <c r="AH51" s="217">
        <v>62</v>
      </c>
      <c r="AI51" s="217">
        <v>59</v>
      </c>
      <c r="AJ51" s="217">
        <v>59</v>
      </c>
      <c r="AK51" s="40">
        <v>239</v>
      </c>
      <c r="AL51" s="278"/>
      <c r="AM51" s="40">
        <v>57</v>
      </c>
      <c r="AN51" s="40">
        <v>58</v>
      </c>
      <c r="AO51" s="40">
        <v>53</v>
      </c>
      <c r="AP51" s="383">
        <v>59</v>
      </c>
      <c r="AQ51" s="383">
        <v>227</v>
      </c>
      <c r="AR51" s="384"/>
      <c r="AS51" s="210">
        <v>68</v>
      </c>
      <c r="AT51" s="210">
        <v>71</v>
      </c>
      <c r="AU51" s="210">
        <v>67</v>
      </c>
      <c r="AV51" s="210">
        <v>72</v>
      </c>
      <c r="AW51" s="210">
        <v>278</v>
      </c>
      <c r="AX51" s="210">
        <v>76</v>
      </c>
      <c r="AY51" s="210">
        <v>81</v>
      </c>
      <c r="AZ51" s="210">
        <v>84</v>
      </c>
      <c r="BA51" s="210">
        <v>87</v>
      </c>
      <c r="BB51" s="210">
        <v>328</v>
      </c>
      <c r="BC51" s="210">
        <v>89</v>
      </c>
      <c r="BD51" s="210">
        <v>87</v>
      </c>
      <c r="BE51" s="210">
        <v>84</v>
      </c>
      <c r="BF51" s="210">
        <v>80</v>
      </c>
      <c r="BG51" s="210">
        <v>340</v>
      </c>
      <c r="BH51" s="210">
        <v>90</v>
      </c>
      <c r="BI51" s="210">
        <v>88</v>
      </c>
      <c r="BJ51" s="210">
        <v>84</v>
      </c>
      <c r="BK51" s="210">
        <v>92</v>
      </c>
      <c r="BL51" s="210">
        <f t="shared" si="9"/>
        <v>354</v>
      </c>
      <c r="BM51" s="210">
        <v>90</v>
      </c>
      <c r="BN51" s="210">
        <v>89</v>
      </c>
      <c r="BO51" s="210">
        <v>87</v>
      </c>
      <c r="BP51" s="210">
        <v>88</v>
      </c>
      <c r="BQ51" s="210">
        <v>354</v>
      </c>
      <c r="BR51" s="210">
        <v>90</v>
      </c>
      <c r="BS51" s="349">
        <v>95</v>
      </c>
      <c r="BU51" s="482"/>
    </row>
    <row r="52" spans="1:73">
      <c r="A52" s="492" t="s">
        <v>287</v>
      </c>
      <c r="B52" s="255"/>
      <c r="C52" s="30">
        <v>88</v>
      </c>
      <c r="D52" s="31">
        <v>93</v>
      </c>
      <c r="E52" s="31">
        <v>95</v>
      </c>
      <c r="F52" s="31">
        <v>122</v>
      </c>
      <c r="G52" s="29">
        <v>398</v>
      </c>
      <c r="H52" s="255"/>
      <c r="I52" s="30">
        <v>88</v>
      </c>
      <c r="J52" s="31">
        <v>95</v>
      </c>
      <c r="K52" s="31">
        <v>100</v>
      </c>
      <c r="L52" s="29">
        <v>126</v>
      </c>
      <c r="M52" s="29">
        <v>409</v>
      </c>
      <c r="N52" s="418"/>
      <c r="O52" s="28">
        <v>81</v>
      </c>
      <c r="P52" s="29">
        <v>92</v>
      </c>
      <c r="Q52" s="29">
        <v>98</v>
      </c>
      <c r="R52" s="29">
        <v>121</v>
      </c>
      <c r="S52" s="174">
        <v>392</v>
      </c>
      <c r="U52" s="28">
        <v>98</v>
      </c>
      <c r="V52" s="29">
        <v>102</v>
      </c>
      <c r="W52" s="29">
        <v>106</v>
      </c>
      <c r="X52" s="29">
        <v>140</v>
      </c>
      <c r="Y52" s="29">
        <f t="shared" si="10"/>
        <v>446</v>
      </c>
      <c r="Z52" s="418"/>
      <c r="AA52" s="28">
        <v>108</v>
      </c>
      <c r="AB52" s="29">
        <v>131</v>
      </c>
      <c r="AC52" s="29">
        <v>122</v>
      </c>
      <c r="AD52" s="29">
        <v>150</v>
      </c>
      <c r="AE52" s="29">
        <v>511</v>
      </c>
      <c r="AG52" s="28">
        <v>109</v>
      </c>
      <c r="AH52" s="217">
        <v>130</v>
      </c>
      <c r="AI52" s="217">
        <v>132</v>
      </c>
      <c r="AJ52" s="217">
        <v>167</v>
      </c>
      <c r="AK52" s="40">
        <v>538</v>
      </c>
      <c r="AL52" s="278"/>
      <c r="AM52" s="40">
        <v>123</v>
      </c>
      <c r="AN52" s="40">
        <v>122</v>
      </c>
      <c r="AO52" s="40">
        <v>142</v>
      </c>
      <c r="AP52" s="383">
        <v>143</v>
      </c>
      <c r="AQ52" s="383">
        <v>530</v>
      </c>
      <c r="AR52" s="384"/>
      <c r="AS52" s="210">
        <v>121</v>
      </c>
      <c r="AT52" s="210">
        <v>133</v>
      </c>
      <c r="AU52" s="210">
        <v>134</v>
      </c>
      <c r="AV52" s="210">
        <v>181</v>
      </c>
      <c r="AW52" s="210">
        <v>569</v>
      </c>
      <c r="AX52" s="210">
        <v>138</v>
      </c>
      <c r="AY52" s="210">
        <v>170</v>
      </c>
      <c r="AZ52" s="210">
        <v>174</v>
      </c>
      <c r="BA52" s="210">
        <v>217</v>
      </c>
      <c r="BB52" s="210">
        <v>699</v>
      </c>
      <c r="BC52" s="210">
        <v>171</v>
      </c>
      <c r="BD52" s="210">
        <v>209</v>
      </c>
      <c r="BE52" s="210">
        <v>195</v>
      </c>
      <c r="BF52" s="210">
        <v>279</v>
      </c>
      <c r="BG52" s="210">
        <v>854</v>
      </c>
      <c r="BH52" s="210">
        <v>190</v>
      </c>
      <c r="BI52" s="210">
        <v>221</v>
      </c>
      <c r="BJ52" s="210">
        <v>218</v>
      </c>
      <c r="BK52" s="210">
        <v>307</v>
      </c>
      <c r="BL52" s="210">
        <f t="shared" si="9"/>
        <v>936</v>
      </c>
      <c r="BM52" s="210">
        <v>210</v>
      </c>
      <c r="BN52" s="210">
        <v>239</v>
      </c>
      <c r="BO52" s="210">
        <v>233</v>
      </c>
      <c r="BP52" s="210">
        <v>280</v>
      </c>
      <c r="BQ52" s="210">
        <v>962</v>
      </c>
      <c r="BR52" s="210">
        <v>216</v>
      </c>
      <c r="BS52" s="349">
        <v>251</v>
      </c>
      <c r="BU52" s="482"/>
    </row>
    <row r="53" spans="1:73">
      <c r="A53" s="492" t="s">
        <v>288</v>
      </c>
      <c r="B53" s="255"/>
      <c r="C53" s="30">
        <v>98</v>
      </c>
      <c r="D53" s="31">
        <v>97</v>
      </c>
      <c r="E53" s="31">
        <v>92</v>
      </c>
      <c r="F53" s="31">
        <v>73</v>
      </c>
      <c r="G53" s="29">
        <v>360</v>
      </c>
      <c r="H53" s="255"/>
      <c r="I53" s="30">
        <v>86</v>
      </c>
      <c r="J53" s="31">
        <v>98</v>
      </c>
      <c r="K53" s="31">
        <v>97</v>
      </c>
      <c r="L53" s="29">
        <v>107</v>
      </c>
      <c r="M53" s="29">
        <v>388</v>
      </c>
      <c r="N53" s="418"/>
      <c r="O53" s="28">
        <v>105</v>
      </c>
      <c r="P53" s="29">
        <v>102</v>
      </c>
      <c r="Q53" s="29">
        <v>77</v>
      </c>
      <c r="R53" s="29">
        <v>83</v>
      </c>
      <c r="S53" s="174">
        <v>367</v>
      </c>
      <c r="U53" s="28">
        <v>104</v>
      </c>
      <c r="V53" s="29">
        <v>103</v>
      </c>
      <c r="W53" s="29">
        <v>114</v>
      </c>
      <c r="X53" s="29">
        <v>116</v>
      </c>
      <c r="Y53" s="29">
        <f t="shared" si="10"/>
        <v>437</v>
      </c>
      <c r="Z53" s="418"/>
      <c r="AA53" s="28">
        <v>117</v>
      </c>
      <c r="AB53" s="29">
        <v>125</v>
      </c>
      <c r="AC53" s="29">
        <v>120</v>
      </c>
      <c r="AD53" s="29">
        <v>115</v>
      </c>
      <c r="AE53" s="29">
        <v>477</v>
      </c>
      <c r="AG53" s="28">
        <v>122</v>
      </c>
      <c r="AH53" s="217">
        <v>125</v>
      </c>
      <c r="AI53" s="217">
        <v>149</v>
      </c>
      <c r="AJ53" s="217">
        <v>138</v>
      </c>
      <c r="AK53" s="40">
        <v>534</v>
      </c>
      <c r="AL53" s="278"/>
      <c r="AM53" s="40">
        <v>140</v>
      </c>
      <c r="AN53" s="40">
        <v>114</v>
      </c>
      <c r="AO53" s="40">
        <v>107</v>
      </c>
      <c r="AP53" s="383">
        <v>126</v>
      </c>
      <c r="AQ53" s="383">
        <v>487</v>
      </c>
      <c r="AR53" s="384"/>
      <c r="AS53" s="210">
        <v>128</v>
      </c>
      <c r="AT53" s="210">
        <v>123</v>
      </c>
      <c r="AU53" s="210">
        <v>131</v>
      </c>
      <c r="AV53" s="210">
        <v>128</v>
      </c>
      <c r="AW53" s="210">
        <v>510</v>
      </c>
      <c r="AX53" s="210">
        <v>131</v>
      </c>
      <c r="AY53" s="210">
        <v>140</v>
      </c>
      <c r="AZ53" s="210">
        <v>145</v>
      </c>
      <c r="BA53" s="210">
        <v>201</v>
      </c>
      <c r="BB53" s="210">
        <v>617</v>
      </c>
      <c r="BC53" s="210">
        <v>173</v>
      </c>
      <c r="BD53" s="210">
        <v>173</v>
      </c>
      <c r="BE53" s="210">
        <v>202</v>
      </c>
      <c r="BF53" s="210">
        <v>188</v>
      </c>
      <c r="BG53" s="210">
        <v>736</v>
      </c>
      <c r="BH53" s="210">
        <v>181</v>
      </c>
      <c r="BI53" s="210">
        <v>175</v>
      </c>
      <c r="BJ53" s="210">
        <v>163</v>
      </c>
      <c r="BK53" s="210">
        <v>208</v>
      </c>
      <c r="BL53" s="210">
        <f t="shared" si="9"/>
        <v>727</v>
      </c>
      <c r="BM53" s="210">
        <v>186</v>
      </c>
      <c r="BN53" s="210">
        <v>179</v>
      </c>
      <c r="BO53" s="210">
        <v>189</v>
      </c>
      <c r="BP53" s="210">
        <v>135</v>
      </c>
      <c r="BQ53" s="210">
        <v>689</v>
      </c>
      <c r="BR53" s="210">
        <v>163</v>
      </c>
      <c r="BS53" s="349">
        <v>159</v>
      </c>
      <c r="BU53" s="482"/>
    </row>
    <row r="54" spans="1:73">
      <c r="A54" s="500" t="s">
        <v>137</v>
      </c>
      <c r="B54" s="255"/>
      <c r="C54" s="28">
        <v>395</v>
      </c>
      <c r="D54" s="29">
        <v>353</v>
      </c>
      <c r="E54" s="29">
        <v>383</v>
      </c>
      <c r="F54" s="29">
        <v>389</v>
      </c>
      <c r="G54" s="29">
        <v>1520</v>
      </c>
      <c r="H54" s="255"/>
      <c r="I54" s="28">
        <v>393</v>
      </c>
      <c r="J54" s="29">
        <v>417</v>
      </c>
      <c r="K54" s="29">
        <v>325</v>
      </c>
      <c r="L54" s="29">
        <v>304</v>
      </c>
      <c r="M54" s="29">
        <v>1439</v>
      </c>
      <c r="N54" s="418"/>
      <c r="O54" s="28">
        <v>293</v>
      </c>
      <c r="P54" s="29">
        <v>313</v>
      </c>
      <c r="Q54" s="29">
        <v>336</v>
      </c>
      <c r="R54" s="29">
        <v>396</v>
      </c>
      <c r="S54" s="174">
        <v>1338</v>
      </c>
      <c r="U54" s="28">
        <v>466</v>
      </c>
      <c r="V54" s="29">
        <v>405</v>
      </c>
      <c r="W54" s="29">
        <v>438</v>
      </c>
      <c r="X54" s="29">
        <v>456</v>
      </c>
      <c r="Y54" s="29">
        <f t="shared" si="10"/>
        <v>1765</v>
      </c>
      <c r="Z54" s="418"/>
      <c r="AA54" s="28">
        <v>434</v>
      </c>
      <c r="AB54" s="29">
        <v>466</v>
      </c>
      <c r="AC54" s="29">
        <v>397</v>
      </c>
      <c r="AD54" s="29">
        <v>374</v>
      </c>
      <c r="AE54" s="29">
        <v>1671</v>
      </c>
      <c r="AG54" s="28">
        <v>420</v>
      </c>
      <c r="AH54" s="217">
        <v>446</v>
      </c>
      <c r="AI54" s="217">
        <v>326</v>
      </c>
      <c r="AJ54" s="217">
        <v>328</v>
      </c>
      <c r="AK54" s="40">
        <v>1520</v>
      </c>
      <c r="AL54" s="278"/>
      <c r="AM54" s="40">
        <v>344</v>
      </c>
      <c r="AN54" s="40">
        <v>334</v>
      </c>
      <c r="AO54" s="40">
        <v>442</v>
      </c>
      <c r="AP54" s="383">
        <v>505</v>
      </c>
      <c r="AQ54" s="383">
        <v>1625</v>
      </c>
      <c r="AR54" s="384"/>
      <c r="AS54" s="210">
        <v>718</v>
      </c>
      <c r="AT54" s="210">
        <v>917</v>
      </c>
      <c r="AU54" s="210">
        <v>904</v>
      </c>
      <c r="AV54" s="210">
        <v>1009</v>
      </c>
      <c r="AW54" s="210">
        <v>3548</v>
      </c>
      <c r="AX54" s="210">
        <v>844</v>
      </c>
      <c r="AY54" s="210">
        <v>809</v>
      </c>
      <c r="AZ54" s="210">
        <v>647</v>
      </c>
      <c r="BA54" s="210">
        <v>746</v>
      </c>
      <c r="BB54" s="210">
        <v>3046</v>
      </c>
      <c r="BC54" s="210">
        <v>1068</v>
      </c>
      <c r="BD54" s="210">
        <v>905</v>
      </c>
      <c r="BE54" s="210">
        <v>824</v>
      </c>
      <c r="BF54" s="210">
        <v>699</v>
      </c>
      <c r="BG54" s="210">
        <v>3496</v>
      </c>
      <c r="BH54" s="210">
        <v>805</v>
      </c>
      <c r="BI54" s="210">
        <v>1150</v>
      </c>
      <c r="BJ54" s="210">
        <v>914</v>
      </c>
      <c r="BK54" s="210">
        <v>996</v>
      </c>
      <c r="BL54" s="210">
        <f t="shared" si="9"/>
        <v>3865</v>
      </c>
      <c r="BM54" s="210">
        <v>1060</v>
      </c>
      <c r="BN54" s="210">
        <v>1022</v>
      </c>
      <c r="BO54" s="210">
        <v>1069</v>
      </c>
      <c r="BP54" s="210">
        <v>1542</v>
      </c>
      <c r="BQ54" s="210">
        <v>4693</v>
      </c>
      <c r="BR54" s="210">
        <v>1903</v>
      </c>
      <c r="BS54" s="349">
        <v>2158</v>
      </c>
      <c r="BU54" s="482"/>
    </row>
    <row r="55" spans="1:73" ht="12.75" customHeight="1">
      <c r="A55" s="500" t="s">
        <v>138</v>
      </c>
      <c r="B55" s="255"/>
      <c r="C55" s="28">
        <v>98</v>
      </c>
      <c r="D55" s="29">
        <v>89</v>
      </c>
      <c r="E55" s="29">
        <v>93</v>
      </c>
      <c r="F55" s="29">
        <v>96</v>
      </c>
      <c r="G55" s="29">
        <v>376</v>
      </c>
      <c r="H55" s="255"/>
      <c r="I55" s="28">
        <v>100</v>
      </c>
      <c r="J55" s="29">
        <v>90</v>
      </c>
      <c r="K55" s="29">
        <v>97</v>
      </c>
      <c r="L55" s="29">
        <v>98</v>
      </c>
      <c r="M55" s="29">
        <v>385</v>
      </c>
      <c r="N55" s="418"/>
      <c r="O55" s="28">
        <v>97</v>
      </c>
      <c r="P55" s="29">
        <v>108</v>
      </c>
      <c r="Q55" s="29">
        <v>92</v>
      </c>
      <c r="R55" s="29">
        <v>90</v>
      </c>
      <c r="S55" s="174">
        <v>387</v>
      </c>
      <c r="U55" s="28">
        <v>107</v>
      </c>
      <c r="V55" s="29">
        <v>101</v>
      </c>
      <c r="W55" s="29">
        <v>102</v>
      </c>
      <c r="X55" s="29">
        <v>79</v>
      </c>
      <c r="Y55" s="29">
        <f t="shared" si="10"/>
        <v>389</v>
      </c>
      <c r="Z55" s="418"/>
      <c r="AA55" s="28">
        <v>109</v>
      </c>
      <c r="AB55" s="29">
        <v>109</v>
      </c>
      <c r="AC55" s="29">
        <v>97</v>
      </c>
      <c r="AD55" s="29">
        <v>97</v>
      </c>
      <c r="AE55" s="29">
        <v>412</v>
      </c>
      <c r="AG55" s="28">
        <v>103</v>
      </c>
      <c r="AH55" s="217">
        <v>97</v>
      </c>
      <c r="AI55" s="217">
        <v>101</v>
      </c>
      <c r="AJ55" s="217">
        <v>96</v>
      </c>
      <c r="AK55" s="40">
        <v>397</v>
      </c>
      <c r="AL55" s="278"/>
      <c r="AM55" s="40">
        <v>107</v>
      </c>
      <c r="AN55" s="40">
        <v>99</v>
      </c>
      <c r="AO55" s="40">
        <v>83</v>
      </c>
      <c r="AP55" s="383">
        <v>108</v>
      </c>
      <c r="AQ55" s="383">
        <v>397</v>
      </c>
      <c r="AR55" s="384"/>
      <c r="AS55" s="210">
        <v>140</v>
      </c>
      <c r="AT55" s="210">
        <v>143</v>
      </c>
      <c r="AU55" s="210">
        <v>189</v>
      </c>
      <c r="AV55" s="206">
        <v>-74</v>
      </c>
      <c r="AW55" s="210">
        <v>398</v>
      </c>
      <c r="AX55" s="210">
        <v>213</v>
      </c>
      <c r="AY55" s="210">
        <v>22</v>
      </c>
      <c r="AZ55" s="210">
        <v>112</v>
      </c>
      <c r="BA55" s="210">
        <v>140</v>
      </c>
      <c r="BB55" s="210">
        <v>487</v>
      </c>
      <c r="BC55" s="210">
        <v>241</v>
      </c>
      <c r="BD55" s="210">
        <v>55</v>
      </c>
      <c r="BE55" s="210">
        <v>157</v>
      </c>
      <c r="BF55" s="210">
        <v>179</v>
      </c>
      <c r="BG55" s="210">
        <v>632</v>
      </c>
      <c r="BH55" s="210">
        <v>270</v>
      </c>
      <c r="BI55" s="210">
        <v>106</v>
      </c>
      <c r="BJ55" s="210">
        <v>146</v>
      </c>
      <c r="BK55" s="210">
        <v>164</v>
      </c>
      <c r="BL55" s="210">
        <f t="shared" si="9"/>
        <v>686</v>
      </c>
      <c r="BM55" s="210">
        <v>194</v>
      </c>
      <c r="BN55" s="210">
        <v>172</v>
      </c>
      <c r="BO55" s="210">
        <v>179</v>
      </c>
      <c r="BP55" s="210">
        <v>170</v>
      </c>
      <c r="BQ55" s="210">
        <v>715</v>
      </c>
      <c r="BR55" s="210">
        <v>191</v>
      </c>
      <c r="BS55" s="349">
        <v>171</v>
      </c>
      <c r="BU55" s="482"/>
    </row>
    <row r="56" spans="1:73">
      <c r="A56" s="500" t="s">
        <v>140</v>
      </c>
      <c r="B56" s="255"/>
      <c r="C56" s="28">
        <v>14</v>
      </c>
      <c r="D56" s="29">
        <v>35</v>
      </c>
      <c r="E56" s="29">
        <v>14</v>
      </c>
      <c r="F56" s="29">
        <v>46</v>
      </c>
      <c r="G56" s="29">
        <v>109</v>
      </c>
      <c r="H56" s="255"/>
      <c r="I56" s="28">
        <v>18</v>
      </c>
      <c r="J56" s="29">
        <v>71</v>
      </c>
      <c r="K56" s="29">
        <v>16</v>
      </c>
      <c r="L56" s="29">
        <v>50</v>
      </c>
      <c r="M56" s="29">
        <v>155</v>
      </c>
      <c r="N56" s="418"/>
      <c r="O56" s="28">
        <v>19</v>
      </c>
      <c r="P56" s="29">
        <v>26</v>
      </c>
      <c r="Q56" s="29">
        <v>62</v>
      </c>
      <c r="R56" s="29">
        <v>54</v>
      </c>
      <c r="S56" s="174">
        <f>105+19+37</f>
        <v>161</v>
      </c>
      <c r="U56" s="28">
        <v>20</v>
      </c>
      <c r="V56" s="29">
        <v>40</v>
      </c>
      <c r="W56" s="29">
        <v>29</v>
      </c>
      <c r="X56" s="29">
        <v>37</v>
      </c>
      <c r="Y56" s="29">
        <f t="shared" si="10"/>
        <v>126</v>
      </c>
      <c r="Z56" s="418"/>
      <c r="AA56" s="28">
        <v>29</v>
      </c>
      <c r="AB56" s="29">
        <v>15</v>
      </c>
      <c r="AC56" s="29">
        <v>22</v>
      </c>
      <c r="AD56" s="29">
        <v>26</v>
      </c>
      <c r="AE56" s="29">
        <v>92</v>
      </c>
      <c r="AG56" s="28">
        <v>21</v>
      </c>
      <c r="AH56" s="217">
        <v>39</v>
      </c>
      <c r="AI56" s="217">
        <v>14</v>
      </c>
      <c r="AJ56" s="217">
        <v>50</v>
      </c>
      <c r="AK56" s="40">
        <v>124</v>
      </c>
      <c r="AL56" s="278"/>
      <c r="AM56" s="40">
        <v>16</v>
      </c>
      <c r="AN56" s="40">
        <v>36</v>
      </c>
      <c r="AO56" s="40">
        <v>20</v>
      </c>
      <c r="AP56" s="383">
        <v>51</v>
      </c>
      <c r="AQ56" s="383">
        <f>53+31+39</f>
        <v>123</v>
      </c>
      <c r="AR56" s="384"/>
      <c r="AS56" s="210">
        <v>13</v>
      </c>
      <c r="AT56" s="210">
        <v>60</v>
      </c>
      <c r="AU56" s="210">
        <f>-8+26</f>
        <v>18</v>
      </c>
      <c r="AV56" s="210">
        <v>54</v>
      </c>
      <c r="AW56" s="210">
        <v>145</v>
      </c>
      <c r="AX56" s="210">
        <v>12</v>
      </c>
      <c r="AY56" s="210">
        <v>33</v>
      </c>
      <c r="AZ56" s="210">
        <v>13</v>
      </c>
      <c r="BA56" s="210">
        <v>43</v>
      </c>
      <c r="BB56" s="210">
        <v>101</v>
      </c>
      <c r="BC56" s="210">
        <v>33</v>
      </c>
      <c r="BD56" s="210">
        <v>59</v>
      </c>
      <c r="BE56" s="210">
        <v>28</v>
      </c>
      <c r="BF56" s="210">
        <v>2868</v>
      </c>
      <c r="BG56" s="210">
        <v>2988</v>
      </c>
      <c r="BH56" s="210">
        <v>24</v>
      </c>
      <c r="BI56" s="210">
        <v>48</v>
      </c>
      <c r="BJ56" s="210">
        <v>20</v>
      </c>
      <c r="BK56" s="210">
        <f>20+12+5+8</f>
        <v>45</v>
      </c>
      <c r="BL56" s="210">
        <f t="shared" si="9"/>
        <v>137</v>
      </c>
      <c r="BM56" s="210">
        <v>19</v>
      </c>
      <c r="BN56" s="210">
        <v>37</v>
      </c>
      <c r="BO56" s="210">
        <v>23</v>
      </c>
      <c r="BP56" s="210">
        <v>65</v>
      </c>
      <c r="BQ56" s="210">
        <v>144</v>
      </c>
      <c r="BR56" s="210">
        <v>20</v>
      </c>
      <c r="BS56" s="349">
        <v>45</v>
      </c>
      <c r="BU56" s="482"/>
    </row>
    <row r="57" spans="1:73">
      <c r="A57" s="487" t="s">
        <v>141</v>
      </c>
      <c r="B57" s="372"/>
      <c r="C57" s="32">
        <f>C45+C46+C47+C50+C54+C55+C56</f>
        <v>3300</v>
      </c>
      <c r="D57" s="33">
        <f>D45+D46+D47+D50+D54+D55+D56</f>
        <v>3186</v>
      </c>
      <c r="E57" s="33">
        <f>E45+E46+E47+E50+E54+E55+E56</f>
        <v>3328</v>
      </c>
      <c r="F57" s="33">
        <f>F45+F46+F47+F50+F54+F55+F56</f>
        <v>3279</v>
      </c>
      <c r="G57" s="33">
        <f>G45+G46+G47+G50+G54+G55+G56</f>
        <v>13093</v>
      </c>
      <c r="H57" s="372"/>
      <c r="I57" s="32">
        <f>I45+I46+I47+I50+I54+I55+I56</f>
        <v>3118</v>
      </c>
      <c r="J57" s="33">
        <f>J45+J46+J47+J50+J54+J55+J56</f>
        <v>3357</v>
      </c>
      <c r="K57" s="33">
        <f>K45+K46+K47+K50+K54+K55+K56</f>
        <v>3017</v>
      </c>
      <c r="L57" s="33">
        <f>L45+L46+L47+L50+L54+L55+L56</f>
        <v>3290</v>
      </c>
      <c r="M57" s="33">
        <f>M45+M46+M47+M50+M54+M55+M56</f>
        <v>12782</v>
      </c>
      <c r="N57" s="419"/>
      <c r="O57" s="32">
        <f>O45+O46+O47+O50+O54+O55+O56</f>
        <v>3079</v>
      </c>
      <c r="P57" s="33">
        <f>P45+P46+P47+P50+P54+P55+P56</f>
        <v>3219</v>
      </c>
      <c r="Q57" s="33">
        <f>Q45+Q46+Q47+Q50+Q54+Q55+Q56</f>
        <v>2999</v>
      </c>
      <c r="R57" s="33">
        <f>R45+R46+R47+R50+R54+R55+R56</f>
        <v>3479</v>
      </c>
      <c r="S57" s="173">
        <f>S45+S46+S47+S50+S54+S55+S56</f>
        <v>12776</v>
      </c>
      <c r="U57" s="32">
        <f>U45+U46+U47+U50+U54+U55+U56</f>
        <v>3337</v>
      </c>
      <c r="V57" s="33">
        <f>V45+V46+V47+V50+V54+V55+V56</f>
        <v>3398</v>
      </c>
      <c r="W57" s="33">
        <f>W45+W46+W47+W50+W54+W55+W56</f>
        <v>3570</v>
      </c>
      <c r="X57" s="33">
        <f>X45+X46+X47+X50+X54+X55+X56</f>
        <v>3619</v>
      </c>
      <c r="Y57" s="33">
        <f t="shared" si="10"/>
        <v>13924</v>
      </c>
      <c r="Z57" s="419"/>
      <c r="AA57" s="32">
        <f>AA45+AA46+AA47+AA50+AA54+AA55+AA56</f>
        <v>3421</v>
      </c>
      <c r="AB57" s="33">
        <f>AB45+AB46+AB47+AB50+AB54+AB55+AB56</f>
        <v>3342</v>
      </c>
      <c r="AC57" s="33">
        <f>AC45+AC46+AC47+AC50+AC54+AC55+AC56</f>
        <v>3337</v>
      </c>
      <c r="AD57" s="33">
        <f>AD45+AD46+AD47+AD50+AD54+AD55+AD56</f>
        <v>3533</v>
      </c>
      <c r="AE57" s="33">
        <f>AE45+AE46+AE47+AE50+AE54+AE55+AE56</f>
        <v>13633</v>
      </c>
      <c r="AG57" s="32">
        <f>AG45+AG46+AG47+AG50+AG54+AG55+AG56</f>
        <v>3677</v>
      </c>
      <c r="AH57" s="191">
        <f>AH45+AH46+AH47+AH50+AH54+AH55+AH56</f>
        <v>3756</v>
      </c>
      <c r="AI57" s="191">
        <f>+AI45+AI46+AI47+AI50+AI54+AI55+AI56</f>
        <v>3692</v>
      </c>
      <c r="AJ57" s="191">
        <f>+AJ45+AJ46+AJ47+AJ50+AJ54+AJ55+AJ56</f>
        <v>3771</v>
      </c>
      <c r="AK57" s="48">
        <v>14896</v>
      </c>
      <c r="AL57" s="278"/>
      <c r="AM57" s="48">
        <v>3636</v>
      </c>
      <c r="AN57" s="48">
        <v>3513</v>
      </c>
      <c r="AO57" s="48">
        <f>+AO45+AO46+AO47+AO50+AO54+AO55+AO56</f>
        <v>3941</v>
      </c>
      <c r="AP57" s="394">
        <f>AP45+AP46+AP47+AP50+AP54+AP55+AP56</f>
        <v>4296</v>
      </c>
      <c r="AQ57" s="394">
        <f>AQ45+AQ46+AQ47+AQ50+AQ54+AQ55+AQ56</f>
        <v>15386</v>
      </c>
      <c r="AR57" s="395"/>
      <c r="AS57" s="233">
        <f t="shared" ref="AS57:BB57" si="11">AS45+AS46+AS47+AS50+AS54+AS55+AS56</f>
        <v>4954</v>
      </c>
      <c r="AT57" s="233">
        <f t="shared" si="11"/>
        <v>5724</v>
      </c>
      <c r="AU57" s="233">
        <f t="shared" si="11"/>
        <v>5555</v>
      </c>
      <c r="AV57" s="233">
        <f t="shared" si="11"/>
        <v>5668</v>
      </c>
      <c r="AW57" s="233">
        <f t="shared" si="11"/>
        <v>21901</v>
      </c>
      <c r="AX57" s="233">
        <f t="shared" si="11"/>
        <v>6207</v>
      </c>
      <c r="AY57" s="233">
        <f t="shared" si="11"/>
        <v>6743</v>
      </c>
      <c r="AZ57" s="233">
        <f t="shared" si="11"/>
        <v>6155</v>
      </c>
      <c r="BA57" s="233">
        <v>6790</v>
      </c>
      <c r="BB57" s="233">
        <f t="shared" si="11"/>
        <v>25895</v>
      </c>
      <c r="BC57" s="233">
        <v>7323</v>
      </c>
      <c r="BD57" s="233">
        <f t="shared" ref="BD57:BL57" si="12">+BD45+BD46+BD47+BD50+BD54+BD55+BD56</f>
        <v>6827</v>
      </c>
      <c r="BE57" s="233">
        <f t="shared" si="12"/>
        <v>6341</v>
      </c>
      <c r="BF57" s="233">
        <f t="shared" si="12"/>
        <v>9368</v>
      </c>
      <c r="BG57" s="233">
        <f t="shared" si="12"/>
        <v>29859</v>
      </c>
      <c r="BH57" s="233">
        <f t="shared" si="12"/>
        <v>6453</v>
      </c>
      <c r="BI57" s="233">
        <f t="shared" si="12"/>
        <v>6824</v>
      </c>
      <c r="BJ57" s="233">
        <f t="shared" si="12"/>
        <v>6522</v>
      </c>
      <c r="BK57" s="233">
        <f t="shared" si="12"/>
        <v>6830</v>
      </c>
      <c r="BL57" s="233">
        <f t="shared" si="12"/>
        <v>26629</v>
      </c>
      <c r="BM57" s="233">
        <f>+BM45+BM46+BM47+BM50+BM54+BM55+BM56</f>
        <v>7020</v>
      </c>
      <c r="BN57" s="233">
        <f>+BN45+BN46+BN47+BN50+BN54+BN55+BN56</f>
        <v>6790</v>
      </c>
      <c r="BO57" s="233">
        <v>6844</v>
      </c>
      <c r="BP57" s="233">
        <f>+BP45+BP46+BP47+BP50+BP54+BP55+BP56</f>
        <v>8286</v>
      </c>
      <c r="BQ57" s="233">
        <f>+BQ45+BQ46+BQ47+BQ50+BQ54+BQ55+BQ56</f>
        <v>28940</v>
      </c>
      <c r="BR57" s="233">
        <v>8788</v>
      </c>
      <c r="BS57" s="350">
        <f>+BS45+BS46+BS47+BS50+BS54+BS55+BS56</f>
        <v>10060</v>
      </c>
      <c r="BU57" s="482"/>
    </row>
    <row r="58" spans="1:73" ht="14.25" customHeight="1">
      <c r="A58" s="500" t="s">
        <v>142</v>
      </c>
      <c r="B58" s="255"/>
      <c r="C58" s="28">
        <v>30</v>
      </c>
      <c r="D58" s="34">
        <v>49</v>
      </c>
      <c r="E58" s="29">
        <v>28</v>
      </c>
      <c r="F58" s="29">
        <v>29</v>
      </c>
      <c r="G58" s="29">
        <v>136</v>
      </c>
      <c r="H58" s="255"/>
      <c r="I58" s="28">
        <v>33</v>
      </c>
      <c r="J58" s="29">
        <v>30</v>
      </c>
      <c r="K58" s="29">
        <v>40</v>
      </c>
      <c r="L58" s="29">
        <v>44</v>
      </c>
      <c r="M58" s="29">
        <v>147</v>
      </c>
      <c r="N58" s="418"/>
      <c r="O58" s="28">
        <v>34</v>
      </c>
      <c r="P58" s="29">
        <v>47</v>
      </c>
      <c r="Q58" s="29">
        <v>26</v>
      </c>
      <c r="R58" s="29">
        <v>38</v>
      </c>
      <c r="S58" s="174">
        <v>145</v>
      </c>
      <c r="U58" s="28">
        <v>56</v>
      </c>
      <c r="V58" s="29">
        <v>51</v>
      </c>
      <c r="W58" s="29">
        <v>40</v>
      </c>
      <c r="X58" s="29">
        <v>35</v>
      </c>
      <c r="Y58" s="29">
        <f t="shared" si="10"/>
        <v>182</v>
      </c>
      <c r="Z58" s="418"/>
      <c r="AA58" s="28">
        <v>41</v>
      </c>
      <c r="AB58" s="29">
        <v>51</v>
      </c>
      <c r="AC58" s="29">
        <v>40</v>
      </c>
      <c r="AD58" s="29">
        <v>45</v>
      </c>
      <c r="AE58" s="29">
        <v>177</v>
      </c>
      <c r="AG58" s="28">
        <v>62</v>
      </c>
      <c r="AH58" s="217">
        <v>56</v>
      </c>
      <c r="AI58" s="217">
        <v>50</v>
      </c>
      <c r="AJ58" s="217">
        <v>32</v>
      </c>
      <c r="AK58" s="40">
        <v>200</v>
      </c>
      <c r="AL58" s="278"/>
      <c r="AM58" s="40">
        <v>52</v>
      </c>
      <c r="AN58" s="40">
        <v>162</v>
      </c>
      <c r="AO58" s="40">
        <v>52</v>
      </c>
      <c r="AP58" s="383">
        <v>93</v>
      </c>
      <c r="AQ58" s="383">
        <v>359</v>
      </c>
      <c r="AR58" s="384"/>
      <c r="AS58" s="210">
        <v>67</v>
      </c>
      <c r="AT58" s="210">
        <v>64</v>
      </c>
      <c r="AU58" s="210">
        <v>81</v>
      </c>
      <c r="AV58" s="210">
        <v>127</v>
      </c>
      <c r="AW58" s="210">
        <v>339</v>
      </c>
      <c r="AX58" s="210">
        <v>119</v>
      </c>
      <c r="AY58" s="210">
        <v>11</v>
      </c>
      <c r="AZ58" s="210">
        <v>201</v>
      </c>
      <c r="BA58" s="210">
        <v>118</v>
      </c>
      <c r="BB58" s="210">
        <v>449</v>
      </c>
      <c r="BC58" s="210">
        <v>202</v>
      </c>
      <c r="BD58" s="210">
        <v>115</v>
      </c>
      <c r="BE58" s="210">
        <v>118</v>
      </c>
      <c r="BF58" s="210">
        <v>110</v>
      </c>
      <c r="BG58" s="210">
        <v>545</v>
      </c>
      <c r="BH58" s="210">
        <v>97</v>
      </c>
      <c r="BI58" s="210">
        <v>82</v>
      </c>
      <c r="BJ58" s="210">
        <v>75</v>
      </c>
      <c r="BK58" s="210">
        <v>94</v>
      </c>
      <c r="BL58" s="210">
        <f t="shared" si="9"/>
        <v>348</v>
      </c>
      <c r="BM58" s="210">
        <v>94</v>
      </c>
      <c r="BN58" s="210">
        <v>76</v>
      </c>
      <c r="BO58" s="210">
        <v>90</v>
      </c>
      <c r="BP58" s="210">
        <v>111</v>
      </c>
      <c r="BQ58" s="210">
        <v>371</v>
      </c>
      <c r="BR58" s="210">
        <v>69</v>
      </c>
      <c r="BS58" s="349">
        <v>61</v>
      </c>
      <c r="BU58" s="482"/>
    </row>
    <row r="59" spans="1:73" ht="14.25" customHeight="1">
      <c r="A59" s="500" t="s">
        <v>143</v>
      </c>
      <c r="B59" s="255"/>
      <c r="C59" s="28">
        <v>-269</v>
      </c>
      <c r="D59" s="34">
        <v>-95</v>
      </c>
      <c r="E59" s="29">
        <v>-106</v>
      </c>
      <c r="F59" s="29">
        <v>504</v>
      </c>
      <c r="G59" s="29">
        <v>34</v>
      </c>
      <c r="H59" s="255"/>
      <c r="I59" s="28">
        <v>-229</v>
      </c>
      <c r="J59" s="29">
        <v>-99</v>
      </c>
      <c r="K59" s="29">
        <v>-9</v>
      </c>
      <c r="L59" s="29">
        <v>181</v>
      </c>
      <c r="M59" s="29">
        <v>-156</v>
      </c>
      <c r="N59" s="418"/>
      <c r="O59" s="28">
        <v>-561</v>
      </c>
      <c r="P59" s="29">
        <v>-213</v>
      </c>
      <c r="Q59" s="29">
        <v>54</v>
      </c>
      <c r="R59" s="29">
        <v>434</v>
      </c>
      <c r="S59" s="174">
        <v>-286</v>
      </c>
      <c r="U59" s="28">
        <v>-534</v>
      </c>
      <c r="V59" s="29">
        <v>-282</v>
      </c>
      <c r="W59" s="29">
        <v>-568</v>
      </c>
      <c r="X59" s="29">
        <v>287</v>
      </c>
      <c r="Y59" s="29">
        <f t="shared" si="10"/>
        <v>-1097</v>
      </c>
      <c r="Z59" s="418"/>
      <c r="AA59" s="28">
        <v>-744</v>
      </c>
      <c r="AB59" s="29">
        <v>-28</v>
      </c>
      <c r="AC59" s="29">
        <v>170</v>
      </c>
      <c r="AD59" s="29">
        <v>366</v>
      </c>
      <c r="AE59" s="29">
        <v>-236</v>
      </c>
      <c r="AG59" s="28">
        <v>-117</v>
      </c>
      <c r="AH59" s="217">
        <v>135</v>
      </c>
      <c r="AI59" s="217">
        <v>-124</v>
      </c>
      <c r="AJ59" s="217">
        <v>475</v>
      </c>
      <c r="AK59" s="40">
        <v>369</v>
      </c>
      <c r="AL59" s="278"/>
      <c r="AM59" s="217">
        <v>-34</v>
      </c>
      <c r="AN59" s="217">
        <v>315</v>
      </c>
      <c r="AO59" s="217">
        <v>-311</v>
      </c>
      <c r="AP59" s="174">
        <v>606</v>
      </c>
      <c r="AQ59" s="174">
        <v>576</v>
      </c>
      <c r="AR59" s="314"/>
      <c r="AS59" s="206">
        <v>-770</v>
      </c>
      <c r="AT59" s="206">
        <v>-310</v>
      </c>
      <c r="AU59" s="206">
        <v>-526</v>
      </c>
      <c r="AV59" s="206">
        <v>44</v>
      </c>
      <c r="AW59" s="206">
        <v>-1562</v>
      </c>
      <c r="AX59" s="206">
        <v>-324</v>
      </c>
      <c r="AY59" s="206">
        <v>-195</v>
      </c>
      <c r="AZ59" s="206">
        <v>-356</v>
      </c>
      <c r="BA59" s="206">
        <v>-790</v>
      </c>
      <c r="BB59" s="206">
        <v>-1665</v>
      </c>
      <c r="BC59" s="206">
        <v>-96</v>
      </c>
      <c r="BD59" s="206">
        <v>-196</v>
      </c>
      <c r="BE59" s="206">
        <v>110</v>
      </c>
      <c r="BF59" s="206">
        <v>8</v>
      </c>
      <c r="BG59" s="206">
        <v>-174</v>
      </c>
      <c r="BH59" s="206">
        <v>282</v>
      </c>
      <c r="BI59" s="206">
        <v>-225</v>
      </c>
      <c r="BJ59" s="206">
        <v>107</v>
      </c>
      <c r="BK59" s="206">
        <v>127</v>
      </c>
      <c r="BL59" s="206">
        <f t="shared" si="9"/>
        <v>291</v>
      </c>
      <c r="BM59" s="206">
        <v>-334</v>
      </c>
      <c r="BN59" s="206">
        <v>-232</v>
      </c>
      <c r="BO59" s="206">
        <v>-440</v>
      </c>
      <c r="BP59" s="206">
        <v>-304</v>
      </c>
      <c r="BQ59" s="206">
        <v>-1310</v>
      </c>
      <c r="BR59" s="206">
        <v>-2078</v>
      </c>
      <c r="BS59" s="351">
        <v>-482</v>
      </c>
      <c r="BU59" s="482"/>
    </row>
    <row r="60" spans="1:73" ht="14.25" customHeight="1">
      <c r="A60" s="500" t="s">
        <v>289</v>
      </c>
      <c r="B60" s="255"/>
      <c r="C60" s="28">
        <v>-37</v>
      </c>
      <c r="D60" s="34">
        <v>-37</v>
      </c>
      <c r="E60" s="29">
        <v>-36</v>
      </c>
      <c r="F60" s="29">
        <v>-33</v>
      </c>
      <c r="G60" s="29">
        <v>-143</v>
      </c>
      <c r="H60" s="255"/>
      <c r="I60" s="28">
        <v>-24</v>
      </c>
      <c r="J60" s="29">
        <v>-29</v>
      </c>
      <c r="K60" s="29">
        <v>-29</v>
      </c>
      <c r="L60" s="29">
        <v>-36</v>
      </c>
      <c r="M60" s="29">
        <v>-118</v>
      </c>
      <c r="N60" s="418"/>
      <c r="O60" s="28">
        <v>-32</v>
      </c>
      <c r="P60" s="29">
        <v>-45</v>
      </c>
      <c r="Q60" s="29">
        <v>-17</v>
      </c>
      <c r="R60" s="29">
        <v>-24</v>
      </c>
      <c r="S60" s="174">
        <v>-118</v>
      </c>
      <c r="U60" s="28">
        <v>-28</v>
      </c>
      <c r="V60" s="29">
        <v>-32</v>
      </c>
      <c r="W60" s="29">
        <v>-22</v>
      </c>
      <c r="X60" s="29">
        <v>-28</v>
      </c>
      <c r="Y60" s="29">
        <f t="shared" si="10"/>
        <v>-110</v>
      </c>
      <c r="Z60" s="418"/>
      <c r="AA60" s="28">
        <v>-32</v>
      </c>
      <c r="AB60" s="29">
        <v>-28</v>
      </c>
      <c r="AC60" s="29">
        <v>-21</v>
      </c>
      <c r="AD60" s="29">
        <v>-33</v>
      </c>
      <c r="AE60" s="29">
        <v>-114</v>
      </c>
      <c r="AG60" s="28">
        <v>-31</v>
      </c>
      <c r="AH60" s="217">
        <v>-40</v>
      </c>
      <c r="AI60" s="217">
        <v>-41</v>
      </c>
      <c r="AJ60" s="217">
        <v>-62</v>
      </c>
      <c r="AK60" s="217">
        <v>-174</v>
      </c>
      <c r="AL60" s="278"/>
      <c r="AM60" s="217">
        <v>-45</v>
      </c>
      <c r="AN60" s="217">
        <v>-38</v>
      </c>
      <c r="AO60" s="217">
        <v>-39</v>
      </c>
      <c r="AP60" s="174">
        <v>-38</v>
      </c>
      <c r="AQ60" s="174">
        <v>-160</v>
      </c>
      <c r="AR60" s="314"/>
      <c r="AS60" s="206">
        <v>-41</v>
      </c>
      <c r="AT60" s="206">
        <v>-38</v>
      </c>
      <c r="AU60" s="206">
        <v>-40</v>
      </c>
      <c r="AV60" s="206">
        <v>-45</v>
      </c>
      <c r="AW60" s="206">
        <v>-164</v>
      </c>
      <c r="AX60" s="206">
        <v>-49</v>
      </c>
      <c r="AY60" s="206">
        <v>-45</v>
      </c>
      <c r="AZ60" s="206">
        <v>-57</v>
      </c>
      <c r="BA60" s="206">
        <v>-65</v>
      </c>
      <c r="BB60" s="206">
        <v>-216</v>
      </c>
      <c r="BC60" s="206">
        <v>-56</v>
      </c>
      <c r="BD60" s="206">
        <v>-50</v>
      </c>
      <c r="BE60" s="206">
        <v>-55</v>
      </c>
      <c r="BF60" s="206">
        <v>-65</v>
      </c>
      <c r="BG60" s="206">
        <v>-226</v>
      </c>
      <c r="BH60" s="206">
        <v>-54</v>
      </c>
      <c r="BI60" s="206">
        <v>-54</v>
      </c>
      <c r="BJ60" s="206">
        <v>-52</v>
      </c>
      <c r="BK60" s="206">
        <v>-70</v>
      </c>
      <c r="BL60" s="206">
        <f t="shared" si="9"/>
        <v>-230</v>
      </c>
      <c r="BM60" s="206">
        <v>-51</v>
      </c>
      <c r="BN60" s="206">
        <v>-44</v>
      </c>
      <c r="BO60" s="206">
        <v>-51</v>
      </c>
      <c r="BP60" s="206">
        <v>-47</v>
      </c>
      <c r="BQ60" s="206">
        <v>-193</v>
      </c>
      <c r="BR60" s="206">
        <v>-44</v>
      </c>
      <c r="BS60" s="351">
        <v>-49</v>
      </c>
      <c r="BU60" s="482"/>
    </row>
    <row r="61" spans="1:73" ht="37.35" customHeight="1">
      <c r="A61" s="487" t="s">
        <v>290</v>
      </c>
      <c r="B61" s="372"/>
      <c r="C61" s="32">
        <f>SUM(C57:C60)</f>
        <v>3024</v>
      </c>
      <c r="D61" s="33">
        <f>SUM(D57:D60)</f>
        <v>3103</v>
      </c>
      <c r="E61" s="33">
        <f>SUM(E57:E60)</f>
        <v>3214</v>
      </c>
      <c r="F61" s="33">
        <f>G61-C61-D61-E61</f>
        <v>3779</v>
      </c>
      <c r="G61" s="33">
        <f>SUM(G57:G60)</f>
        <v>13120</v>
      </c>
      <c r="H61" s="372"/>
      <c r="I61" s="32">
        <f>SUM(I57:I60)</f>
        <v>2898</v>
      </c>
      <c r="J61" s="33">
        <f>SUM(J57:J60)</f>
        <v>3259</v>
      </c>
      <c r="K61" s="33">
        <f>SUM(K57:K60)</f>
        <v>3019</v>
      </c>
      <c r="L61" s="33">
        <f>SUM(L57:L60)</f>
        <v>3479</v>
      </c>
      <c r="M61" s="33">
        <f>SUM(M57:M60)</f>
        <v>12655</v>
      </c>
      <c r="N61" s="419"/>
      <c r="O61" s="32">
        <f>SUM(O57:O60)</f>
        <v>2520</v>
      </c>
      <c r="P61" s="33">
        <f>SUM(P57:P60)</f>
        <v>3008</v>
      </c>
      <c r="Q61" s="33">
        <f>SUM(Q57:Q60)</f>
        <v>3062</v>
      </c>
      <c r="R61" s="33">
        <v>3927</v>
      </c>
      <c r="S61" s="173">
        <f>SUM(S57:S60)</f>
        <v>12517</v>
      </c>
      <c r="U61" s="32">
        <f>SUM(U57:U60)</f>
        <v>2831</v>
      </c>
      <c r="V61" s="33">
        <f>SUM(V57:V60)</f>
        <v>3135</v>
      </c>
      <c r="W61" s="33">
        <f>SUM(W57:W60)</f>
        <v>3020</v>
      </c>
      <c r="X61" s="33">
        <f>SUM(X57:X60)</f>
        <v>3913</v>
      </c>
      <c r="Y61" s="33">
        <f t="shared" si="10"/>
        <v>12899</v>
      </c>
      <c r="Z61" s="419"/>
      <c r="AA61" s="32">
        <f>SUM(AA57:AA60)</f>
        <v>2686</v>
      </c>
      <c r="AB61" s="33">
        <f>SUM(AB57:AB60)</f>
        <v>3337</v>
      </c>
      <c r="AC61" s="33">
        <f>SUM(AC57:AC60)</f>
        <v>3526</v>
      </c>
      <c r="AD61" s="33">
        <f>SUM(AD57:AD60)</f>
        <v>3911</v>
      </c>
      <c r="AE61" s="33">
        <f>SUM(AE57:AE60)</f>
        <v>13460</v>
      </c>
      <c r="AG61" s="32">
        <f>SUM(AG57:AG60)</f>
        <v>3591</v>
      </c>
      <c r="AH61" s="191">
        <f>AH57+AH58+AH59+AH60</f>
        <v>3907</v>
      </c>
      <c r="AI61" s="191">
        <f>+AI57+AI58+AI59+AI60</f>
        <v>3577</v>
      </c>
      <c r="AJ61" s="191">
        <f>+AJ57+AJ58+AJ59+AJ60</f>
        <v>4216</v>
      </c>
      <c r="AK61" s="191">
        <v>15291</v>
      </c>
      <c r="AL61" s="273"/>
      <c r="AM61" s="191">
        <v>3609</v>
      </c>
      <c r="AN61" s="191">
        <v>3952</v>
      </c>
      <c r="AO61" s="191">
        <f>+AO57+AO58+AO59+AO60</f>
        <v>3643</v>
      </c>
      <c r="AP61" s="173">
        <f>AP57+AP58+AP59+AP60</f>
        <v>4957</v>
      </c>
      <c r="AQ61" s="173">
        <f>AQ57+AQ58+AQ59+AQ60</f>
        <v>16161</v>
      </c>
      <c r="AR61" s="14"/>
      <c r="AS61" s="207">
        <f>AS57+AS58+AS59+AS60</f>
        <v>4210</v>
      </c>
      <c r="AT61" s="207">
        <f>AT57+AT58+AT59+AT60</f>
        <v>5440</v>
      </c>
      <c r="AU61" s="207">
        <f>AU57+AU58+AU59+AU60</f>
        <v>5070</v>
      </c>
      <c r="AV61" s="207">
        <v>5794</v>
      </c>
      <c r="AW61" s="207">
        <v>20514</v>
      </c>
      <c r="AX61" s="207">
        <f>AX57+AX58+AX59+AX60</f>
        <v>5953</v>
      </c>
      <c r="AY61" s="207">
        <f>AY57+AY58+AY59+AY60</f>
        <v>6514</v>
      </c>
      <c r="AZ61" s="207">
        <f>AZ57+AZ58+AZ59+AZ60</f>
        <v>5943</v>
      </c>
      <c r="BA61" s="207">
        <v>6053</v>
      </c>
      <c r="BB61" s="207">
        <f>BB57+BB58+BB59+BB60</f>
        <v>24463</v>
      </c>
      <c r="BC61" s="207">
        <v>7373</v>
      </c>
      <c r="BD61" s="207">
        <v>6696</v>
      </c>
      <c r="BE61" s="207">
        <v>6514</v>
      </c>
      <c r="BF61" s="207">
        <v>9421</v>
      </c>
      <c r="BG61" s="207">
        <v>30004</v>
      </c>
      <c r="BH61" s="207">
        <v>6778</v>
      </c>
      <c r="BI61" s="207">
        <v>6627</v>
      </c>
      <c r="BJ61" s="207">
        <f>BJ57+BJ58+BJ59+BJ60</f>
        <v>6652</v>
      </c>
      <c r="BK61" s="207">
        <f>BK57+BK58+BK59+BK60</f>
        <v>6981</v>
      </c>
      <c r="BL61" s="207">
        <f>BL57+BL58+BL59+BL60</f>
        <v>27038</v>
      </c>
      <c r="BM61" s="207">
        <f>+BM57+BM58+BM59+BM60</f>
        <v>6729</v>
      </c>
      <c r="BN61" s="207">
        <f>+BN57+BN58+BN59+BN60</f>
        <v>6590</v>
      </c>
      <c r="BO61" s="207">
        <f>+BO57+BO58+BO59+BO60</f>
        <v>6443</v>
      </c>
      <c r="BP61" s="207">
        <f>+BP57+BP58+BP59+BP60</f>
        <v>8046</v>
      </c>
      <c r="BQ61" s="207">
        <f>+BQ57+BQ58+BQ59+BQ60</f>
        <v>27808</v>
      </c>
      <c r="BR61" s="207">
        <v>6735</v>
      </c>
      <c r="BS61" s="350">
        <f>+BS57+BS58+BS59+BS60</f>
        <v>9590</v>
      </c>
      <c r="BU61" s="482"/>
    </row>
    <row r="63" spans="1:73" ht="22.5">
      <c r="A63" s="420" t="s">
        <v>291</v>
      </c>
    </row>
  </sheetData>
  <pageMargins left="0.70866141732283472" right="0.70866141732283472" top="0.74803149606299213" bottom="0.74803149606299213" header="0.31496062992125984" footer="0.31496062992125984"/>
  <pageSetup paperSize="8" scale="35" orientation="landscape" r:id="rId1"/>
  <ignoredErrors>
    <ignoredError sqref="BL14 BL17 BL57 BA14 BB26 BB3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9465-E525-4212-93B7-1EE6914D787F}">
  <sheetPr>
    <pageSetUpPr fitToPage="1"/>
  </sheetPr>
  <dimension ref="A1:BR35"/>
  <sheetViews>
    <sheetView showGridLines="0" zoomScale="110" zoomScaleNormal="110" workbookViewId="0">
      <pane xSplit="2" ySplit="2" topLeftCell="BB3" activePane="bottomRight" state="frozen"/>
      <selection sqref="A1:AH65536"/>
      <selection pane="topRight" sqref="A1:AH65536"/>
      <selection pane="bottomLeft" sqref="A1:AH65536"/>
      <selection pane="bottomRight" activeCell="BT28" sqref="BT28"/>
    </sheetView>
  </sheetViews>
  <sheetFormatPr defaultColWidth="9.42578125" defaultRowHeight="12" customHeight="1"/>
  <cols>
    <col min="1" max="1" width="55.42578125" style="15" customWidth="1"/>
    <col min="2" max="2" width="1" style="15" customWidth="1"/>
    <col min="3" max="3" width="8.42578125" style="18" customWidth="1"/>
    <col min="4" max="4" width="0.5703125" style="15" customWidth="1"/>
    <col min="5" max="8" width="8.42578125" style="15" customWidth="1"/>
    <col min="9" max="9" width="8.42578125" style="18" customWidth="1"/>
    <col min="10" max="10" width="0.5703125" style="15" customWidth="1"/>
    <col min="11" max="14" width="8.85546875" style="15" customWidth="1"/>
    <col min="15" max="15" width="8.85546875" style="18" customWidth="1"/>
    <col min="16" max="16" width="1.140625" style="15" customWidth="1"/>
    <col min="17" max="20" width="6.42578125" style="15" customWidth="1"/>
    <col min="21" max="21" width="6.85546875" style="15" customWidth="1"/>
    <col min="22" max="22" width="1.140625" style="15" customWidth="1"/>
    <col min="23" max="27" width="7.85546875" style="15" customWidth="1"/>
    <col min="28" max="28" width="0.5703125" style="15" customWidth="1"/>
    <col min="29" max="29" width="6.85546875" style="15" customWidth="1"/>
    <col min="30" max="33" width="7" style="19" customWidth="1"/>
    <col min="34" max="34" width="0.85546875" style="19" customWidth="1"/>
    <col min="35" max="35" width="6.140625" style="19" customWidth="1"/>
    <col min="36" max="36" width="7.42578125" style="19" customWidth="1"/>
    <col min="37" max="37" width="7.42578125" style="15" customWidth="1"/>
    <col min="38" max="38" width="6.140625" style="15" customWidth="1"/>
    <col min="39" max="39" width="7.5703125" style="15" customWidth="1"/>
    <col min="40" max="40" width="1.42578125" style="15" customWidth="1"/>
    <col min="41" max="41" width="7.42578125" style="15" customWidth="1"/>
    <col min="42" max="65" width="7.42578125" style="421" customWidth="1"/>
    <col min="66" max="66" width="13.85546875" style="15" hidden="1" customWidth="1"/>
    <col min="67" max="68" width="7.42578125" style="421" customWidth="1"/>
    <col min="69" max="16384" width="9.42578125" style="15"/>
  </cols>
  <sheetData>
    <row r="1" spans="1:70" ht="30">
      <c r="A1" s="529" t="s">
        <v>292</v>
      </c>
      <c r="B1" s="5"/>
    </row>
    <row r="2" spans="1:70" ht="12" customHeight="1">
      <c r="A2" s="531"/>
      <c r="B2" s="168"/>
      <c r="C2" s="215">
        <v>2014</v>
      </c>
      <c r="D2" s="215"/>
      <c r="E2" s="215" t="s">
        <v>4</v>
      </c>
      <c r="F2" s="215" t="s">
        <v>5</v>
      </c>
      <c r="G2" s="215" t="s">
        <v>6</v>
      </c>
      <c r="H2" s="215" t="s">
        <v>7</v>
      </c>
      <c r="I2" s="215" t="s">
        <v>18</v>
      </c>
      <c r="K2" s="215" t="s">
        <v>8</v>
      </c>
      <c r="L2" s="215" t="s">
        <v>9</v>
      </c>
      <c r="M2" s="215" t="s">
        <v>10</v>
      </c>
      <c r="N2" s="215" t="s">
        <v>11</v>
      </c>
      <c r="O2" s="215" t="s">
        <v>19</v>
      </c>
      <c r="Q2" s="215" t="s">
        <v>16</v>
      </c>
      <c r="R2" s="215" t="s">
        <v>17</v>
      </c>
      <c r="S2" s="215" t="s">
        <v>20</v>
      </c>
      <c r="T2" s="215" t="s">
        <v>21</v>
      </c>
      <c r="U2" s="215">
        <v>2017</v>
      </c>
      <c r="W2" s="215" t="s">
        <v>27</v>
      </c>
      <c r="X2" s="215" t="s">
        <v>29</v>
      </c>
      <c r="Y2" s="215" t="s">
        <v>30</v>
      </c>
      <c r="Z2" s="215" t="s">
        <v>33</v>
      </c>
      <c r="AA2" s="215">
        <v>2018</v>
      </c>
      <c r="AC2" s="215" t="s">
        <v>35</v>
      </c>
      <c r="AD2" s="215" t="s">
        <v>36</v>
      </c>
      <c r="AE2" s="215" t="s">
        <v>39</v>
      </c>
      <c r="AF2" s="215" t="s">
        <v>40</v>
      </c>
      <c r="AG2" s="215">
        <v>2019</v>
      </c>
      <c r="AH2" s="215"/>
      <c r="AI2" s="215" t="s">
        <v>41</v>
      </c>
      <c r="AJ2" s="215" t="s">
        <v>42</v>
      </c>
      <c r="AK2" s="215" t="s">
        <v>43</v>
      </c>
      <c r="AL2" s="215" t="s">
        <v>44</v>
      </c>
      <c r="AM2" s="215">
        <v>2020</v>
      </c>
      <c r="AN2" s="215"/>
      <c r="AO2" s="215" t="s">
        <v>47</v>
      </c>
      <c r="AP2" s="216" t="s">
        <v>48</v>
      </c>
      <c r="AQ2" s="216" t="s">
        <v>49</v>
      </c>
      <c r="AR2" s="216" t="s">
        <v>50</v>
      </c>
      <c r="AS2" s="216">
        <v>2021</v>
      </c>
      <c r="AT2" s="216" t="s">
        <v>51</v>
      </c>
      <c r="AU2" s="216" t="s">
        <v>52</v>
      </c>
      <c r="AV2" s="216" t="s">
        <v>53</v>
      </c>
      <c r="AW2" s="216" t="s">
        <v>54</v>
      </c>
      <c r="AX2" s="216">
        <v>2022</v>
      </c>
      <c r="AY2" s="216" t="s">
        <v>55</v>
      </c>
      <c r="AZ2" s="216" t="s">
        <v>56</v>
      </c>
      <c r="BA2" s="216" t="s">
        <v>57</v>
      </c>
      <c r="BB2" s="216" t="s">
        <v>61</v>
      </c>
      <c r="BC2" s="216">
        <v>2023</v>
      </c>
      <c r="BD2" s="216" t="s">
        <v>64</v>
      </c>
      <c r="BE2" s="216" t="s">
        <v>68</v>
      </c>
      <c r="BF2" s="216" t="s">
        <v>70</v>
      </c>
      <c r="BG2" s="216" t="s">
        <v>75</v>
      </c>
      <c r="BH2" s="216">
        <v>2024</v>
      </c>
      <c r="BI2" s="216" t="s">
        <v>76</v>
      </c>
      <c r="BJ2" s="216" t="s">
        <v>79</v>
      </c>
      <c r="BK2" s="216" t="s">
        <v>81</v>
      </c>
      <c r="BL2" s="216" t="s">
        <v>83</v>
      </c>
      <c r="BM2" s="216">
        <v>2025</v>
      </c>
      <c r="BO2" s="216" t="s">
        <v>86</v>
      </c>
      <c r="BP2" s="216" t="s">
        <v>88</v>
      </c>
    </row>
    <row r="3" spans="1:70" s="193" customFormat="1" ht="12" customHeight="1">
      <c r="A3" s="517" t="s">
        <v>121</v>
      </c>
      <c r="B3" s="4"/>
      <c r="C3" s="174">
        <v>3362</v>
      </c>
      <c r="D3" s="314"/>
      <c r="E3" s="177">
        <v>705</v>
      </c>
      <c r="F3" s="174">
        <v>1176</v>
      </c>
      <c r="G3" s="174">
        <v>521</v>
      </c>
      <c r="H3" s="174">
        <v>-4340</v>
      </c>
      <c r="I3" s="174">
        <v>-1938</v>
      </c>
      <c r="K3" s="177">
        <v>532</v>
      </c>
      <c r="L3" s="174">
        <v>500</v>
      </c>
      <c r="M3" s="174">
        <v>800</v>
      </c>
      <c r="N3" s="174">
        <v>-5207</v>
      </c>
      <c r="O3" s="174">
        <v>-3375</v>
      </c>
      <c r="Q3" s="177">
        <v>1104</v>
      </c>
      <c r="R3" s="174">
        <v>725</v>
      </c>
      <c r="S3" s="174">
        <v>673</v>
      </c>
      <c r="T3" s="174">
        <v>-348</v>
      </c>
      <c r="U3" s="174">
        <v>2154</v>
      </c>
      <c r="W3" s="177">
        <v>727</v>
      </c>
      <c r="X3" s="174">
        <v>551</v>
      </c>
      <c r="Y3" s="174">
        <v>650</v>
      </c>
      <c r="Z3" s="174">
        <v>744</v>
      </c>
      <c r="AA3" s="174">
        <v>2672</v>
      </c>
      <c r="AC3" s="177">
        <v>931</v>
      </c>
      <c r="AD3" s="217">
        <v>781</v>
      </c>
      <c r="AE3" s="217">
        <f>2370-AC3-AD3</f>
        <v>658</v>
      </c>
      <c r="AF3" s="217">
        <v>-443</v>
      </c>
      <c r="AG3" s="217">
        <v>1927</v>
      </c>
      <c r="AH3" s="49"/>
      <c r="AI3" s="217">
        <v>608</v>
      </c>
      <c r="AJ3" s="217">
        <v>533</v>
      </c>
      <c r="AK3" s="217">
        <v>686</v>
      </c>
      <c r="AL3" s="174">
        <v>940</v>
      </c>
      <c r="AM3" s="174">
        <v>2767</v>
      </c>
      <c r="AN3" s="314"/>
      <c r="AO3" s="206">
        <v>1425</v>
      </c>
      <c r="AP3" s="206">
        <v>3653</v>
      </c>
      <c r="AQ3" s="206">
        <v>992</v>
      </c>
      <c r="AR3" s="206">
        <v>646</v>
      </c>
      <c r="AS3" s="206">
        <v>6716</v>
      </c>
      <c r="AT3" s="206">
        <v>1838</v>
      </c>
      <c r="AU3" s="206">
        <v>1938</v>
      </c>
      <c r="AV3" s="206">
        <v>1081</v>
      </c>
      <c r="AW3" s="206">
        <v>139</v>
      </c>
      <c r="AX3" s="206">
        <v>4996</v>
      </c>
      <c r="AY3" s="206">
        <v>869</v>
      </c>
      <c r="AZ3" s="206">
        <v>934</v>
      </c>
      <c r="BA3" s="206">
        <v>837</v>
      </c>
      <c r="BB3" s="206">
        <v>-3670</v>
      </c>
      <c r="BC3" s="206">
        <v>-1030</v>
      </c>
      <c r="BD3" s="206">
        <v>610</v>
      </c>
      <c r="BE3" s="206">
        <v>1408</v>
      </c>
      <c r="BF3" s="206">
        <v>-21</v>
      </c>
      <c r="BG3" s="206">
        <f>BH3-BD3-BE3-BF3</f>
        <v>1988</v>
      </c>
      <c r="BH3" s="206">
        <v>3985</v>
      </c>
      <c r="BI3" s="206">
        <v>393</v>
      </c>
      <c r="BJ3" s="206">
        <v>241</v>
      </c>
      <c r="BK3" s="206">
        <v>707</v>
      </c>
      <c r="BL3" s="206">
        <f>+BM3-BI3-BJ3-BK3</f>
        <v>2039</v>
      </c>
      <c r="BM3" s="206">
        <v>3380</v>
      </c>
      <c r="BN3" s="458">
        <f>+BM3-BK3-BJ3-BI3</f>
        <v>2039</v>
      </c>
      <c r="BO3" s="206">
        <v>4119</v>
      </c>
      <c r="BP3" s="351">
        <v>3460</v>
      </c>
      <c r="BR3" s="458"/>
    </row>
    <row r="4" spans="1:70" ht="12" customHeight="1">
      <c r="A4" s="518" t="s">
        <v>124</v>
      </c>
      <c r="B4" s="2"/>
      <c r="C4" s="174">
        <v>818</v>
      </c>
      <c r="D4" s="314"/>
      <c r="E4" s="177">
        <v>226</v>
      </c>
      <c r="F4" s="174">
        <v>203</v>
      </c>
      <c r="G4" s="174">
        <v>226</v>
      </c>
      <c r="H4" s="174">
        <v>220</v>
      </c>
      <c r="I4" s="174">
        <v>875</v>
      </c>
      <c r="K4" s="177">
        <v>214</v>
      </c>
      <c r="L4" s="174">
        <v>237</v>
      </c>
      <c r="M4" s="174">
        <v>249</v>
      </c>
      <c r="N4" s="174">
        <v>256</v>
      </c>
      <c r="O4" s="174">
        <v>956</v>
      </c>
      <c r="Q4" s="177">
        <v>239</v>
      </c>
      <c r="R4" s="174">
        <v>257</v>
      </c>
      <c r="S4" s="174">
        <v>256</v>
      </c>
      <c r="T4" s="174">
        <v>283</v>
      </c>
      <c r="U4" s="174">
        <v>1035</v>
      </c>
      <c r="W4" s="177">
        <v>251</v>
      </c>
      <c r="X4" s="174">
        <v>283</v>
      </c>
      <c r="Y4" s="174">
        <v>286</v>
      </c>
      <c r="Z4" s="174">
        <v>299</v>
      </c>
      <c r="AA4" s="174">
        <v>1119</v>
      </c>
      <c r="AC4" s="177">
        <v>274</v>
      </c>
      <c r="AD4" s="217">
        <v>312</v>
      </c>
      <c r="AE4" s="217">
        <f>893-AC4-AD4</f>
        <v>307</v>
      </c>
      <c r="AF4" s="217">
        <v>327</v>
      </c>
      <c r="AG4" s="217">
        <v>1220</v>
      </c>
      <c r="AH4" s="49"/>
      <c r="AI4" s="217">
        <v>284</v>
      </c>
      <c r="AJ4" s="217">
        <v>311</v>
      </c>
      <c r="AK4" s="217">
        <v>301</v>
      </c>
      <c r="AL4" s="174">
        <v>397</v>
      </c>
      <c r="AM4" s="174">
        <v>1293</v>
      </c>
      <c r="AN4" s="314"/>
      <c r="AO4" s="206">
        <v>309</v>
      </c>
      <c r="AP4" s="206">
        <v>347</v>
      </c>
      <c r="AQ4" s="206">
        <v>359</v>
      </c>
      <c r="AR4" s="206">
        <v>348</v>
      </c>
      <c r="AS4" s="206">
        <v>1363</v>
      </c>
      <c r="AT4" s="206">
        <v>322</v>
      </c>
      <c r="AU4" s="206">
        <v>373</v>
      </c>
      <c r="AV4" s="206">
        <v>369</v>
      </c>
      <c r="AW4" s="206">
        <v>370</v>
      </c>
      <c r="AX4" s="206">
        <v>1434</v>
      </c>
      <c r="AY4" s="206">
        <v>363</v>
      </c>
      <c r="AZ4" s="206">
        <v>421</v>
      </c>
      <c r="BA4" s="206">
        <v>426</v>
      </c>
      <c r="BB4" s="206">
        <v>387</v>
      </c>
      <c r="BC4" s="206">
        <v>1597</v>
      </c>
      <c r="BD4" s="206">
        <v>350</v>
      </c>
      <c r="BE4" s="206">
        <v>390</v>
      </c>
      <c r="BF4" s="206">
        <v>400</v>
      </c>
      <c r="BG4" s="206">
        <f t="shared" ref="BG4:BG29" si="0">BH4-BD4-BE4-BF4</f>
        <v>402</v>
      </c>
      <c r="BH4" s="206">
        <v>1542</v>
      </c>
      <c r="BI4" s="206">
        <v>390</v>
      </c>
      <c r="BJ4" s="206">
        <v>436</v>
      </c>
      <c r="BK4" s="206">
        <v>433</v>
      </c>
      <c r="BL4" s="206">
        <f t="shared" ref="BL4:BL29" si="1">+BM4-BI4-BJ4-BK4</f>
        <v>411</v>
      </c>
      <c r="BM4" s="206">
        <v>1670</v>
      </c>
      <c r="BN4" s="458">
        <f t="shared" ref="BN4:BN31" si="2">+BM4-BK4-BJ4-BI4</f>
        <v>411</v>
      </c>
      <c r="BO4" s="206">
        <v>414</v>
      </c>
      <c r="BP4" s="351">
        <v>467</v>
      </c>
      <c r="BR4" s="458"/>
    </row>
    <row r="5" spans="1:70" ht="12" customHeight="1">
      <c r="A5" s="518" t="s">
        <v>193</v>
      </c>
      <c r="B5" s="2"/>
      <c r="C5" s="174">
        <v>29</v>
      </c>
      <c r="D5" s="314"/>
      <c r="E5" s="177">
        <v>14</v>
      </c>
      <c r="F5" s="174">
        <v>20</v>
      </c>
      <c r="G5" s="174">
        <v>29</v>
      </c>
      <c r="H5" s="174">
        <v>22</v>
      </c>
      <c r="I5" s="174">
        <v>85</v>
      </c>
      <c r="K5" s="177">
        <v>23</v>
      </c>
      <c r="L5" s="174">
        <v>24</v>
      </c>
      <c r="M5" s="174">
        <v>38</v>
      </c>
      <c r="N5" s="174">
        <v>43</v>
      </c>
      <c r="O5" s="174">
        <v>128</v>
      </c>
      <c r="Q5" s="177">
        <v>38</v>
      </c>
      <c r="R5" s="174">
        <v>38</v>
      </c>
      <c r="S5" s="174">
        <v>36</v>
      </c>
      <c r="T5" s="174">
        <v>36</v>
      </c>
      <c r="U5" s="174">
        <v>148</v>
      </c>
      <c r="W5" s="177">
        <v>32</v>
      </c>
      <c r="X5" s="174">
        <v>41</v>
      </c>
      <c r="Y5" s="174">
        <v>40</v>
      </c>
      <c r="Z5" s="174">
        <v>37</v>
      </c>
      <c r="AA5" s="174">
        <v>150</v>
      </c>
      <c r="AC5" s="177">
        <v>43</v>
      </c>
      <c r="AD5" s="217">
        <v>50</v>
      </c>
      <c r="AE5" s="217">
        <f>97-AC5-AD5</f>
        <v>4</v>
      </c>
      <c r="AF5" s="217">
        <v>135</v>
      </c>
      <c r="AG5" s="217">
        <v>232</v>
      </c>
      <c r="AH5" s="49"/>
      <c r="AI5" s="217">
        <v>48</v>
      </c>
      <c r="AJ5" s="217">
        <v>57</v>
      </c>
      <c r="AK5" s="217">
        <v>28</v>
      </c>
      <c r="AL5" s="174">
        <v>42</v>
      </c>
      <c r="AM5" s="174">
        <v>175</v>
      </c>
      <c r="AN5" s="314"/>
      <c r="AO5" s="206">
        <v>27</v>
      </c>
      <c r="AP5" s="206">
        <v>36</v>
      </c>
      <c r="AQ5" s="206">
        <v>20</v>
      </c>
      <c r="AR5" s="206">
        <v>37</v>
      </c>
      <c r="AS5" s="206">
        <v>120</v>
      </c>
      <c r="AT5" s="206">
        <v>25</v>
      </c>
      <c r="AU5" s="206">
        <v>27</v>
      </c>
      <c r="AV5" s="206">
        <v>37</v>
      </c>
      <c r="AW5" s="206">
        <v>-28</v>
      </c>
      <c r="AX5" s="206">
        <v>61</v>
      </c>
      <c r="AY5" s="206">
        <v>35</v>
      </c>
      <c r="AZ5" s="206">
        <v>-20</v>
      </c>
      <c r="BA5" s="206">
        <v>97</v>
      </c>
      <c r="BB5" s="206">
        <v>55</v>
      </c>
      <c r="BC5" s="206">
        <v>167</v>
      </c>
      <c r="BD5" s="206">
        <v>69</v>
      </c>
      <c r="BE5" s="206">
        <v>57</v>
      </c>
      <c r="BF5" s="206">
        <v>55</v>
      </c>
      <c r="BG5" s="206">
        <f t="shared" si="0"/>
        <v>65</v>
      </c>
      <c r="BH5" s="206">
        <v>246</v>
      </c>
      <c r="BI5" s="206">
        <v>51</v>
      </c>
      <c r="BJ5" s="206">
        <v>42</v>
      </c>
      <c r="BK5" s="206">
        <v>37</v>
      </c>
      <c r="BL5" s="206">
        <f t="shared" si="1"/>
        <v>-24</v>
      </c>
      <c r="BM5" s="206">
        <v>106</v>
      </c>
      <c r="BN5" s="458">
        <f t="shared" si="2"/>
        <v>-24</v>
      </c>
      <c r="BO5" s="206">
        <v>21</v>
      </c>
      <c r="BP5" s="351">
        <v>11</v>
      </c>
      <c r="BR5" s="458"/>
    </row>
    <row r="6" spans="1:70" ht="12" customHeight="1">
      <c r="A6" s="495" t="s">
        <v>293</v>
      </c>
      <c r="B6" s="3"/>
      <c r="C6" s="174">
        <v>32</v>
      </c>
      <c r="D6" s="314"/>
      <c r="E6" s="177">
        <v>0</v>
      </c>
      <c r="F6" s="174">
        <v>0</v>
      </c>
      <c r="G6" s="174">
        <v>194</v>
      </c>
      <c r="H6" s="174">
        <v>5078</v>
      </c>
      <c r="I6" s="174">
        <v>5272</v>
      </c>
      <c r="K6" s="177">
        <v>57</v>
      </c>
      <c r="L6" s="174">
        <v>8</v>
      </c>
      <c r="M6" s="174">
        <v>5</v>
      </c>
      <c r="N6" s="174">
        <v>6127</v>
      </c>
      <c r="O6" s="174">
        <v>6197</v>
      </c>
      <c r="Q6" s="177">
        <v>0</v>
      </c>
      <c r="R6" s="174">
        <v>1</v>
      </c>
      <c r="S6" s="174">
        <v>0</v>
      </c>
      <c r="T6" s="174">
        <v>939</v>
      </c>
      <c r="U6" s="174">
        <v>940</v>
      </c>
      <c r="W6" s="177">
        <f>765-813</f>
        <v>-48</v>
      </c>
      <c r="X6" s="174">
        <v>-91</v>
      </c>
      <c r="Y6" s="174">
        <v>-19</v>
      </c>
      <c r="Z6" s="174">
        <v>-465</v>
      </c>
      <c r="AA6" s="174">
        <v>-623</v>
      </c>
      <c r="AC6" s="177">
        <v>-95</v>
      </c>
      <c r="AD6" s="217">
        <v>-7</v>
      </c>
      <c r="AE6" s="217">
        <f>29-128-AC6-AD6</f>
        <v>3</v>
      </c>
      <c r="AF6" s="217">
        <v>456</v>
      </c>
      <c r="AG6" s="217">
        <v>357</v>
      </c>
      <c r="AH6" s="49"/>
      <c r="AI6" s="217">
        <v>215</v>
      </c>
      <c r="AJ6" s="217">
        <v>0</v>
      </c>
      <c r="AK6" s="217">
        <v>-27</v>
      </c>
      <c r="AL6" s="174">
        <v>4</v>
      </c>
      <c r="AM6" s="174">
        <v>192</v>
      </c>
      <c r="AN6" s="314"/>
      <c r="AO6" s="206">
        <v>6</v>
      </c>
      <c r="AP6" s="206">
        <v>-1452</v>
      </c>
      <c r="AQ6" s="206">
        <v>-24</v>
      </c>
      <c r="AR6" s="206">
        <v>-90</v>
      </c>
      <c r="AS6" s="206">
        <v>-1560</v>
      </c>
      <c r="AT6" s="206">
        <v>-52</v>
      </c>
      <c r="AU6" s="206">
        <v>-137</v>
      </c>
      <c r="AV6" s="206">
        <v>10</v>
      </c>
      <c r="AW6" s="206">
        <v>-28</v>
      </c>
      <c r="AX6" s="206">
        <v>-207</v>
      </c>
      <c r="AY6" s="206">
        <v>0</v>
      </c>
      <c r="AZ6" s="206">
        <v>-80</v>
      </c>
      <c r="BA6" s="206">
        <v>-7</v>
      </c>
      <c r="BB6" s="206">
        <v>3022</v>
      </c>
      <c r="BC6" s="206">
        <v>2935</v>
      </c>
      <c r="BD6" s="206">
        <v>-1</v>
      </c>
      <c r="BE6" s="206">
        <v>-16</v>
      </c>
      <c r="BF6" s="206">
        <v>24</v>
      </c>
      <c r="BG6" s="206">
        <f t="shared" si="0"/>
        <v>-1173</v>
      </c>
      <c r="BH6" s="206">
        <v>-1166</v>
      </c>
      <c r="BI6" s="206">
        <v>-4</v>
      </c>
      <c r="BJ6" s="206">
        <v>26</v>
      </c>
      <c r="BK6" s="206">
        <v>2</v>
      </c>
      <c r="BL6" s="206">
        <f t="shared" si="1"/>
        <v>-514</v>
      </c>
      <c r="BM6" s="206">
        <v>-490</v>
      </c>
      <c r="BN6" s="458">
        <f t="shared" si="2"/>
        <v>-514</v>
      </c>
      <c r="BO6" s="206">
        <v>3</v>
      </c>
      <c r="BP6" s="351">
        <v>-85</v>
      </c>
      <c r="BR6" s="458"/>
    </row>
    <row r="7" spans="1:70" ht="15">
      <c r="A7" s="495" t="s">
        <v>294</v>
      </c>
      <c r="B7" s="3"/>
      <c r="C7" s="174" t="s">
        <v>28</v>
      </c>
      <c r="D7" s="314"/>
      <c r="E7" s="177" t="s">
        <v>28</v>
      </c>
      <c r="F7" s="174" t="s">
        <v>28</v>
      </c>
      <c r="G7" s="174" t="s">
        <v>28</v>
      </c>
      <c r="H7" s="174" t="s">
        <v>28</v>
      </c>
      <c r="I7" s="174" t="s">
        <v>28</v>
      </c>
      <c r="K7" s="177" t="s">
        <v>28</v>
      </c>
      <c r="L7" s="174" t="s">
        <v>28</v>
      </c>
      <c r="M7" s="174" t="s">
        <v>28</v>
      </c>
      <c r="N7" s="174" t="s">
        <v>28</v>
      </c>
      <c r="O7" s="174" t="s">
        <v>28</v>
      </c>
      <c r="Q7" s="177" t="s">
        <v>28</v>
      </c>
      <c r="R7" s="174" t="s">
        <v>28</v>
      </c>
      <c r="S7" s="174" t="s">
        <v>28</v>
      </c>
      <c r="T7" s="174" t="s">
        <v>28</v>
      </c>
      <c r="U7" s="174" t="s">
        <v>28</v>
      </c>
      <c r="W7" s="177">
        <v>-113</v>
      </c>
      <c r="X7" s="174">
        <v>72</v>
      </c>
      <c r="Y7" s="174">
        <v>-11</v>
      </c>
      <c r="Z7" s="174">
        <v>115</v>
      </c>
      <c r="AA7" s="174">
        <v>63</v>
      </c>
      <c r="AC7" s="177">
        <v>-80</v>
      </c>
      <c r="AD7" s="217">
        <v>-61</v>
      </c>
      <c r="AE7" s="217">
        <f>-138-AC7-AD7</f>
        <v>3</v>
      </c>
      <c r="AF7" s="217">
        <v>41</v>
      </c>
      <c r="AG7" s="217">
        <v>-97</v>
      </c>
      <c r="AH7" s="49"/>
      <c r="AI7" s="217">
        <v>-329</v>
      </c>
      <c r="AJ7" s="217">
        <v>222</v>
      </c>
      <c r="AK7" s="217">
        <v>65</v>
      </c>
      <c r="AL7" s="174">
        <v>52</v>
      </c>
      <c r="AM7" s="174">
        <v>10</v>
      </c>
      <c r="AN7" s="314"/>
      <c r="AO7" s="206">
        <v>-91</v>
      </c>
      <c r="AP7" s="206">
        <v>-1032</v>
      </c>
      <c r="AQ7" s="206">
        <v>-177</v>
      </c>
      <c r="AR7" s="206">
        <v>271</v>
      </c>
      <c r="AS7" s="206">
        <v>-1029</v>
      </c>
      <c r="AT7" s="206">
        <v>-24</v>
      </c>
      <c r="AU7" s="206">
        <v>-430</v>
      </c>
      <c r="AV7" s="206">
        <v>-335</v>
      </c>
      <c r="AW7" s="206">
        <v>189</v>
      </c>
      <c r="AX7" s="206">
        <v>-600</v>
      </c>
      <c r="AY7" s="206">
        <v>12</v>
      </c>
      <c r="AZ7" s="206">
        <v>-584</v>
      </c>
      <c r="BA7" s="206">
        <v>-320</v>
      </c>
      <c r="BB7" s="206">
        <v>329</v>
      </c>
      <c r="BC7" s="206">
        <v>-563</v>
      </c>
      <c r="BD7" s="206">
        <v>-121</v>
      </c>
      <c r="BE7" s="206">
        <v>-216</v>
      </c>
      <c r="BF7" s="206">
        <v>256</v>
      </c>
      <c r="BG7" s="206">
        <f t="shared" si="0"/>
        <v>63</v>
      </c>
      <c r="BH7" s="206">
        <v>-18</v>
      </c>
      <c r="BI7" s="206">
        <v>110</v>
      </c>
      <c r="BJ7" s="206">
        <v>229</v>
      </c>
      <c r="BK7" s="206">
        <v>-57</v>
      </c>
      <c r="BL7" s="206">
        <f t="shared" si="1"/>
        <v>-462</v>
      </c>
      <c r="BM7" s="206">
        <v>-180</v>
      </c>
      <c r="BN7" s="458">
        <f t="shared" si="2"/>
        <v>-462</v>
      </c>
      <c r="BO7" s="206">
        <v>-162</v>
      </c>
      <c r="BP7" s="351">
        <v>-1392</v>
      </c>
      <c r="BR7" s="458"/>
    </row>
    <row r="8" spans="1:70" ht="12" customHeight="1">
      <c r="A8" s="518" t="s">
        <v>195</v>
      </c>
      <c r="B8" s="2"/>
      <c r="C8" s="174">
        <v>390</v>
      </c>
      <c r="D8" s="314">
        <v>390</v>
      </c>
      <c r="E8" s="177">
        <v>219</v>
      </c>
      <c r="F8" s="174">
        <v>-449</v>
      </c>
      <c r="G8" s="174">
        <v>-43</v>
      </c>
      <c r="H8" s="174">
        <v>-157</v>
      </c>
      <c r="I8" s="174">
        <v>-430</v>
      </c>
      <c r="K8" s="177">
        <v>-440</v>
      </c>
      <c r="L8" s="174">
        <v>213</v>
      </c>
      <c r="M8" s="174">
        <v>-204</v>
      </c>
      <c r="N8" s="174">
        <v>238</v>
      </c>
      <c r="O8" s="174">
        <v>-193</v>
      </c>
      <c r="Q8" s="177">
        <v>178</v>
      </c>
      <c r="R8" s="174">
        <v>-451</v>
      </c>
      <c r="S8" s="174">
        <v>144</v>
      </c>
      <c r="T8" s="174">
        <v>-14</v>
      </c>
      <c r="U8" s="174">
        <f>30+152-67+43-2-299</f>
        <v>-143</v>
      </c>
      <c r="W8" s="177">
        <f>-315+113</f>
        <v>-202</v>
      </c>
      <c r="X8" s="174">
        <v>-90</v>
      </c>
      <c r="Y8" s="174">
        <v>-197</v>
      </c>
      <c r="Z8" s="174">
        <v>80</v>
      </c>
      <c r="AA8" s="174">
        <f>-190-219</f>
        <v>-409</v>
      </c>
      <c r="AC8" s="177">
        <v>-21</v>
      </c>
      <c r="AD8" s="217">
        <v>-445</v>
      </c>
      <c r="AE8" s="217">
        <f>-187-37+111-27-413+23-38-AC8-AD8</f>
        <v>-102</v>
      </c>
      <c r="AF8" s="217">
        <v>464</v>
      </c>
      <c r="AG8" s="217">
        <v>-104</v>
      </c>
      <c r="AH8" s="49"/>
      <c r="AI8" s="217">
        <v>30</v>
      </c>
      <c r="AJ8" s="217">
        <v>-215</v>
      </c>
      <c r="AK8" s="217">
        <v>115</v>
      </c>
      <c r="AL8" s="174">
        <v>109</v>
      </c>
      <c r="AM8" s="174">
        <v>39</v>
      </c>
      <c r="AN8" s="314"/>
      <c r="AO8" s="206">
        <v>420</v>
      </c>
      <c r="AP8" s="206">
        <v>113</v>
      </c>
      <c r="AQ8" s="206">
        <v>-98</v>
      </c>
      <c r="AR8" s="206">
        <v>-545</v>
      </c>
      <c r="AS8" s="206">
        <v>-110</v>
      </c>
      <c r="AT8" s="206">
        <v>494</v>
      </c>
      <c r="AU8" s="206">
        <v>-683</v>
      </c>
      <c r="AV8" s="206">
        <v>-597</v>
      </c>
      <c r="AW8" s="206">
        <v>900</v>
      </c>
      <c r="AX8" s="206">
        <v>114</v>
      </c>
      <c r="AY8" s="206">
        <v>611</v>
      </c>
      <c r="AZ8" s="206">
        <v>593</v>
      </c>
      <c r="BA8" s="206">
        <v>-740</v>
      </c>
      <c r="BB8" s="206">
        <v>516</v>
      </c>
      <c r="BC8" s="206">
        <v>980</v>
      </c>
      <c r="BD8" s="206">
        <v>-237</v>
      </c>
      <c r="BE8" s="206">
        <v>-154</v>
      </c>
      <c r="BF8" s="206">
        <v>112</v>
      </c>
      <c r="BG8" s="206">
        <f t="shared" si="0"/>
        <v>-150</v>
      </c>
      <c r="BH8" s="206">
        <v>-429</v>
      </c>
      <c r="BI8" s="206">
        <v>299</v>
      </c>
      <c r="BJ8" s="206">
        <v>145</v>
      </c>
      <c r="BK8" s="206">
        <v>167</v>
      </c>
      <c r="BL8" s="206">
        <f t="shared" si="1"/>
        <v>257</v>
      </c>
      <c r="BM8" s="206">
        <v>868</v>
      </c>
      <c r="BN8" s="458">
        <f t="shared" si="2"/>
        <v>257</v>
      </c>
      <c r="BO8" s="206">
        <v>515</v>
      </c>
      <c r="BP8" s="351">
        <v>-238</v>
      </c>
      <c r="BR8" s="458"/>
    </row>
    <row r="9" spans="1:70" s="193" customFormat="1" ht="12" customHeight="1">
      <c r="A9" s="519" t="s">
        <v>196</v>
      </c>
      <c r="B9" s="4"/>
      <c r="C9" s="174">
        <v>1269</v>
      </c>
      <c r="D9" s="314"/>
      <c r="E9" s="177">
        <v>459</v>
      </c>
      <c r="F9" s="174">
        <v>-226</v>
      </c>
      <c r="G9" s="174">
        <v>406</v>
      </c>
      <c r="H9" s="174">
        <v>5163</v>
      </c>
      <c r="I9" s="174">
        <v>5802</v>
      </c>
      <c r="K9" s="177">
        <v>-146</v>
      </c>
      <c r="L9" s="174">
        <v>482</v>
      </c>
      <c r="M9" s="174">
        <v>88</v>
      </c>
      <c r="N9" s="174">
        <v>6664</v>
      </c>
      <c r="O9" s="174">
        <v>7088</v>
      </c>
      <c r="Q9" s="177">
        <f>+Q4+Q5+Q6+Q8</f>
        <v>455</v>
      </c>
      <c r="R9" s="174">
        <f>+R4+R5+R6+R8</f>
        <v>-155</v>
      </c>
      <c r="S9" s="174">
        <f>+S4+S5+S6+S8</f>
        <v>436</v>
      </c>
      <c r="T9" s="174">
        <f>+T4+T5+T6+T8</f>
        <v>1244</v>
      </c>
      <c r="U9" s="174">
        <f>U4+U5+U6+U8</f>
        <v>1980</v>
      </c>
      <c r="W9" s="177">
        <f>+W4+W5+W6+W7+W8</f>
        <v>-80</v>
      </c>
      <c r="X9" s="174">
        <f>+X4+X5+X6+X7+X8</f>
        <v>215</v>
      </c>
      <c r="Y9" s="174">
        <f>Y4+Y5+Y6+Y7+Y8</f>
        <v>99</v>
      </c>
      <c r="Z9" s="174">
        <v>66</v>
      </c>
      <c r="AA9" s="174">
        <f>AA4+AA5+AA6+AA7+AA8</f>
        <v>300</v>
      </c>
      <c r="AC9" s="177">
        <f>AC4+AC5+AC6+AC7+AC8</f>
        <v>121</v>
      </c>
      <c r="AD9" s="217">
        <v>-151</v>
      </c>
      <c r="AE9" s="217">
        <f>AE4+AE5+AE6+AE7+AE8</f>
        <v>215</v>
      </c>
      <c r="AF9" s="217">
        <v>1423</v>
      </c>
      <c r="AG9" s="217">
        <v>1608</v>
      </c>
      <c r="AH9" s="49"/>
      <c r="AI9" s="217">
        <v>248</v>
      </c>
      <c r="AJ9" s="217">
        <v>375</v>
      </c>
      <c r="AK9" s="217">
        <f>+AK4+AK5+AK6+AK7+AK8</f>
        <v>482</v>
      </c>
      <c r="AL9" s="174">
        <v>604</v>
      </c>
      <c r="AM9" s="174">
        <f>AM4+AM5+AM6+AM7+AM8</f>
        <v>1709</v>
      </c>
      <c r="AN9" s="314"/>
      <c r="AO9" s="206">
        <f t="shared" ref="AO9:AT9" si="3">AO4+AO5+AO6+AO7+AO8</f>
        <v>671</v>
      </c>
      <c r="AP9" s="206">
        <f t="shared" si="3"/>
        <v>-1988</v>
      </c>
      <c r="AQ9" s="206">
        <f t="shared" si="3"/>
        <v>80</v>
      </c>
      <c r="AR9" s="206">
        <f t="shared" si="3"/>
        <v>21</v>
      </c>
      <c r="AS9" s="206">
        <f t="shared" si="3"/>
        <v>-1216</v>
      </c>
      <c r="AT9" s="206">
        <f t="shared" si="3"/>
        <v>765</v>
      </c>
      <c r="AU9" s="206">
        <v>-850</v>
      </c>
      <c r="AV9" s="206">
        <v>-516</v>
      </c>
      <c r="AW9" s="206">
        <v>848</v>
      </c>
      <c r="AX9" s="206">
        <v>247</v>
      </c>
      <c r="AY9" s="206">
        <f>AY4+AY5+AY6+AY7+AY8</f>
        <v>1021</v>
      </c>
      <c r="AZ9" s="206">
        <f>+AZ4+AZ5+AZ6+AZ7+AZ8</f>
        <v>330</v>
      </c>
      <c r="BA9" s="206">
        <f>+BA4+BA5+BA6+BA7+BA8</f>
        <v>-544</v>
      </c>
      <c r="BB9" s="206">
        <v>4309</v>
      </c>
      <c r="BC9" s="206">
        <v>5116</v>
      </c>
      <c r="BD9" s="206">
        <f>+BD4+BD5+BD6+BD7+BD8</f>
        <v>60</v>
      </c>
      <c r="BE9" s="206">
        <f>+BE4+BE5+BE6+BE7+BE8</f>
        <v>61</v>
      </c>
      <c r="BF9" s="206">
        <f>BF4+BF5+BF6+BF7+BF8</f>
        <v>847</v>
      </c>
      <c r="BG9" s="206">
        <f>BH9-BD9-BE9-BF9</f>
        <v>-793</v>
      </c>
      <c r="BH9" s="206">
        <f>BH4+BH5+BH6+BH7+BH8</f>
        <v>175</v>
      </c>
      <c r="BI9" s="206">
        <f>+BI4+BI5+BI6+BI7+BI8</f>
        <v>846</v>
      </c>
      <c r="BJ9" s="206">
        <v>878</v>
      </c>
      <c r="BK9" s="206">
        <v>582</v>
      </c>
      <c r="BL9" s="206">
        <f t="shared" si="1"/>
        <v>-332</v>
      </c>
      <c r="BM9" s="206">
        <f>+BM4+BM5+BM6+BM7+BM8</f>
        <v>1974</v>
      </c>
      <c r="BN9" s="458">
        <f t="shared" si="2"/>
        <v>-332</v>
      </c>
      <c r="BO9" s="206">
        <v>791</v>
      </c>
      <c r="BP9" s="351">
        <f>+BP4+BP5+BP6+BP7+BP8</f>
        <v>-1237</v>
      </c>
      <c r="BQ9" s="15"/>
      <c r="BR9" s="458"/>
    </row>
    <row r="10" spans="1:70" ht="12" customHeight="1">
      <c r="A10" s="519" t="s">
        <v>197</v>
      </c>
      <c r="B10" s="4"/>
      <c r="C10" s="174">
        <v>-853</v>
      </c>
      <c r="D10" s="314"/>
      <c r="E10" s="177">
        <v>-225</v>
      </c>
      <c r="F10" s="174">
        <v>-206</v>
      </c>
      <c r="G10" s="174">
        <v>-225</v>
      </c>
      <c r="H10" s="174">
        <v>-224</v>
      </c>
      <c r="I10" s="174">
        <v>-880</v>
      </c>
      <c r="K10" s="177">
        <v>-75</v>
      </c>
      <c r="L10" s="174">
        <v>-72</v>
      </c>
      <c r="M10" s="174">
        <v>-204</v>
      </c>
      <c r="N10" s="174">
        <v>-117</v>
      </c>
      <c r="O10" s="174">
        <v>-468</v>
      </c>
      <c r="Q10" s="177">
        <v>-414</v>
      </c>
      <c r="R10" s="174">
        <v>-270</v>
      </c>
      <c r="S10" s="174">
        <v>-111</v>
      </c>
      <c r="T10" s="174">
        <v>-139</v>
      </c>
      <c r="U10" s="174">
        <v>-934</v>
      </c>
      <c r="W10" s="177">
        <v>-144</v>
      </c>
      <c r="X10" s="174">
        <v>-188</v>
      </c>
      <c r="Y10" s="174">
        <v>-189</v>
      </c>
      <c r="Z10" s="174">
        <v>-189</v>
      </c>
      <c r="AA10" s="174">
        <v>-710</v>
      </c>
      <c r="AC10" s="177">
        <v>-63</v>
      </c>
      <c r="AD10" s="217">
        <v>-258</v>
      </c>
      <c r="AE10" s="217">
        <f>-395-AC10-AD10</f>
        <v>-74</v>
      </c>
      <c r="AF10" s="217">
        <v>-70</v>
      </c>
      <c r="AG10" s="217">
        <v>-465</v>
      </c>
      <c r="AH10" s="49"/>
      <c r="AI10" s="217">
        <v>-186</v>
      </c>
      <c r="AJ10" s="217">
        <v>-186</v>
      </c>
      <c r="AK10" s="217">
        <v>-63</v>
      </c>
      <c r="AL10" s="174">
        <v>-295</v>
      </c>
      <c r="AM10" s="174">
        <v>-730</v>
      </c>
      <c r="AN10" s="314"/>
      <c r="AO10" s="206">
        <v>-188</v>
      </c>
      <c r="AP10" s="206">
        <v>-180</v>
      </c>
      <c r="AQ10" s="206">
        <v>-172</v>
      </c>
      <c r="AR10" s="206">
        <v>-167</v>
      </c>
      <c r="AS10" s="206">
        <v>-707</v>
      </c>
      <c r="AT10" s="206">
        <v>-169</v>
      </c>
      <c r="AU10" s="206">
        <v>-1020</v>
      </c>
      <c r="AV10" s="206">
        <v>-194</v>
      </c>
      <c r="AW10" s="206">
        <v>-192</v>
      </c>
      <c r="AX10" s="206">
        <v>-1575</v>
      </c>
      <c r="AY10" s="206">
        <v>-244</v>
      </c>
      <c r="AZ10" s="206">
        <v>-815</v>
      </c>
      <c r="BA10" s="206">
        <v>-270</v>
      </c>
      <c r="BB10" s="206">
        <v>-302</v>
      </c>
      <c r="BC10" s="206">
        <v>-1631</v>
      </c>
      <c r="BD10" s="206">
        <v>-104</v>
      </c>
      <c r="BE10" s="206">
        <v>205</v>
      </c>
      <c r="BF10" s="206">
        <v>-254</v>
      </c>
      <c r="BG10" s="206">
        <f t="shared" si="0"/>
        <v>-253</v>
      </c>
      <c r="BH10" s="206">
        <v>-406</v>
      </c>
      <c r="BI10" s="206">
        <v>-378</v>
      </c>
      <c r="BJ10" s="206">
        <v>-155</v>
      </c>
      <c r="BK10" s="206">
        <v>-155</v>
      </c>
      <c r="BL10" s="206">
        <f t="shared" si="1"/>
        <v>-155</v>
      </c>
      <c r="BM10" s="206">
        <v>-843</v>
      </c>
      <c r="BN10" s="458">
        <f t="shared" si="2"/>
        <v>-155</v>
      </c>
      <c r="BO10" s="206">
        <v>-762</v>
      </c>
      <c r="BP10" s="351">
        <v>-294</v>
      </c>
      <c r="BR10" s="458"/>
    </row>
    <row r="11" spans="1:70" ht="12" customHeight="1">
      <c r="A11" s="519" t="s">
        <v>198</v>
      </c>
      <c r="B11" s="4"/>
      <c r="C11" s="174">
        <v>222</v>
      </c>
      <c r="D11" s="314"/>
      <c r="E11" s="177">
        <v>218</v>
      </c>
      <c r="F11" s="174">
        <v>221</v>
      </c>
      <c r="G11" s="174">
        <v>-13</v>
      </c>
      <c r="H11" s="174">
        <v>-131</v>
      </c>
      <c r="I11" s="174">
        <v>295</v>
      </c>
      <c r="K11" s="177">
        <v>127</v>
      </c>
      <c r="L11" s="174">
        <v>-306</v>
      </c>
      <c r="M11" s="174">
        <v>137</v>
      </c>
      <c r="N11" s="174">
        <v>394</v>
      </c>
      <c r="O11" s="174">
        <v>352</v>
      </c>
      <c r="Q11" s="177">
        <v>-598</v>
      </c>
      <c r="R11" s="174">
        <v>-47</v>
      </c>
      <c r="S11" s="174">
        <v>-591</v>
      </c>
      <c r="T11" s="174">
        <v>116</v>
      </c>
      <c r="U11" s="174">
        <v>-1120</v>
      </c>
      <c r="W11" s="177">
        <v>-585</v>
      </c>
      <c r="X11" s="174">
        <v>-128</v>
      </c>
      <c r="Y11" s="174">
        <v>207</v>
      </c>
      <c r="Z11" s="174">
        <v>1059</v>
      </c>
      <c r="AA11" s="174">
        <v>553</v>
      </c>
      <c r="AC11" s="177">
        <v>-473</v>
      </c>
      <c r="AD11" s="217">
        <v>381</v>
      </c>
      <c r="AE11" s="217">
        <f>-320-AC11-AD11</f>
        <v>-228</v>
      </c>
      <c r="AF11" s="217">
        <v>1293</v>
      </c>
      <c r="AG11" s="217">
        <v>973</v>
      </c>
      <c r="AH11" s="49"/>
      <c r="AI11" s="217">
        <v>384</v>
      </c>
      <c r="AJ11" s="217">
        <v>149</v>
      </c>
      <c r="AK11" s="217">
        <v>-170</v>
      </c>
      <c r="AL11" s="174">
        <v>707</v>
      </c>
      <c r="AM11" s="174">
        <v>1070</v>
      </c>
      <c r="AN11" s="314"/>
      <c r="AO11" s="206">
        <v>-1021</v>
      </c>
      <c r="AP11" s="206">
        <v>-692</v>
      </c>
      <c r="AQ11" s="206">
        <v>-1179</v>
      </c>
      <c r="AR11" s="206">
        <v>62</v>
      </c>
      <c r="AS11" s="206">
        <v>-2830</v>
      </c>
      <c r="AT11" s="206">
        <v>-595</v>
      </c>
      <c r="AU11" s="206">
        <v>-492</v>
      </c>
      <c r="AV11" s="206">
        <v>-65</v>
      </c>
      <c r="AW11" s="206">
        <v>-725</v>
      </c>
      <c r="AX11" s="206">
        <v>-1877</v>
      </c>
      <c r="AY11" s="206">
        <v>116</v>
      </c>
      <c r="AZ11" s="206">
        <v>887</v>
      </c>
      <c r="BA11" s="206">
        <v>404</v>
      </c>
      <c r="BB11" s="206">
        <v>1777</v>
      </c>
      <c r="BC11" s="206">
        <v>3185</v>
      </c>
      <c r="BD11" s="206">
        <v>-761</v>
      </c>
      <c r="BE11" s="206">
        <v>748</v>
      </c>
      <c r="BF11" s="206">
        <v>-687</v>
      </c>
      <c r="BG11" s="206">
        <f t="shared" si="0"/>
        <v>-522</v>
      </c>
      <c r="BH11" s="206">
        <v>-1222</v>
      </c>
      <c r="BI11" s="206">
        <v>356</v>
      </c>
      <c r="BJ11" s="206">
        <v>-655</v>
      </c>
      <c r="BK11" s="206">
        <v>-713</v>
      </c>
      <c r="BL11" s="206">
        <f t="shared" si="1"/>
        <v>-941</v>
      </c>
      <c r="BM11" s="206">
        <v>-1953</v>
      </c>
      <c r="BN11" s="458">
        <f t="shared" si="2"/>
        <v>-941</v>
      </c>
      <c r="BO11" s="206">
        <v>-3335</v>
      </c>
      <c r="BP11" s="351">
        <v>-441</v>
      </c>
      <c r="BR11" s="458"/>
    </row>
    <row r="12" spans="1:70" ht="12.75" customHeight="1">
      <c r="A12" s="520" t="s">
        <v>199</v>
      </c>
      <c r="B12" s="171"/>
      <c r="C12" s="173">
        <v>4000</v>
      </c>
      <c r="D12" s="14"/>
      <c r="E12" s="175">
        <v>1157</v>
      </c>
      <c r="F12" s="173">
        <v>965</v>
      </c>
      <c r="G12" s="173">
        <v>689</v>
      </c>
      <c r="H12" s="173">
        <v>468</v>
      </c>
      <c r="I12" s="173">
        <v>3279</v>
      </c>
      <c r="K12" s="175">
        <v>438</v>
      </c>
      <c r="L12" s="173">
        <v>604</v>
      </c>
      <c r="M12" s="173">
        <v>821</v>
      </c>
      <c r="N12" s="173">
        <v>1734</v>
      </c>
      <c r="O12" s="173">
        <v>3597</v>
      </c>
      <c r="Q12" s="175">
        <f>+Q3+Q9+Q10+Q11</f>
        <v>547</v>
      </c>
      <c r="R12" s="173">
        <f>+R3+R9+R10+R11</f>
        <v>253</v>
      </c>
      <c r="S12" s="173">
        <f>+S3+S9+S10+S11</f>
        <v>407</v>
      </c>
      <c r="T12" s="173">
        <f>+T3+T9+T10+T11</f>
        <v>873</v>
      </c>
      <c r="U12" s="173">
        <f>U3+U9+U10+U11</f>
        <v>2080</v>
      </c>
      <c r="W12" s="175">
        <f>+W3+W9+W10+W11</f>
        <v>-82</v>
      </c>
      <c r="X12" s="173">
        <f>+X3+X9+X10+X11</f>
        <v>450</v>
      </c>
      <c r="Y12" s="173">
        <f>+Y3+Y9+Y10+Y11</f>
        <v>767</v>
      </c>
      <c r="Z12" s="173">
        <f>+Z3+Z9+Z10+Z11</f>
        <v>1680</v>
      </c>
      <c r="AA12" s="173">
        <f>+AA3+AA9+AA10+AA11</f>
        <v>2815</v>
      </c>
      <c r="AC12" s="175">
        <f>+AC3+AC9+AC10+AC11</f>
        <v>516</v>
      </c>
      <c r="AD12" s="191">
        <f>+AD3+AD9+AD10+AD11</f>
        <v>753</v>
      </c>
      <c r="AE12" s="191">
        <f>AE3+AE9+AE10+AE11</f>
        <v>571</v>
      </c>
      <c r="AF12" s="191">
        <v>2203</v>
      </c>
      <c r="AG12" s="191">
        <v>4043</v>
      </c>
      <c r="AH12" s="50"/>
      <c r="AI12" s="191">
        <v>1054</v>
      </c>
      <c r="AJ12" s="191">
        <v>871</v>
      </c>
      <c r="AK12" s="191">
        <f>+AK3+AK9+AK10+AK11</f>
        <v>935</v>
      </c>
      <c r="AL12" s="173">
        <f>AL3+AL9+AL10+AL11</f>
        <v>1956</v>
      </c>
      <c r="AM12" s="173">
        <f>AM3+AM9+AM10+AM11</f>
        <v>4816</v>
      </c>
      <c r="AN12" s="14"/>
      <c r="AO12" s="207">
        <f t="shared" ref="AO12:AU12" si="4">AO3+AO9+AO10+AO11</f>
        <v>887</v>
      </c>
      <c r="AP12" s="207">
        <f t="shared" si="4"/>
        <v>793</v>
      </c>
      <c r="AQ12" s="207">
        <f t="shared" si="4"/>
        <v>-279</v>
      </c>
      <c r="AR12" s="207">
        <f t="shared" si="4"/>
        <v>562</v>
      </c>
      <c r="AS12" s="207">
        <f>AS3+AS9+AS10+AS11</f>
        <v>1963</v>
      </c>
      <c r="AT12" s="207">
        <f t="shared" si="4"/>
        <v>1839</v>
      </c>
      <c r="AU12" s="207">
        <f t="shared" si="4"/>
        <v>-424</v>
      </c>
      <c r="AV12" s="207">
        <f>AV3+AV9+AV10+AV11</f>
        <v>306</v>
      </c>
      <c r="AW12" s="207">
        <v>70</v>
      </c>
      <c r="AX12" s="207">
        <f>AX3+AX9+AX10+AX11</f>
        <v>1791</v>
      </c>
      <c r="AY12" s="207">
        <v>1762</v>
      </c>
      <c r="AZ12" s="207">
        <f t="shared" ref="AZ12:BF12" si="5">+AZ3+AZ9+AZ10+AZ11</f>
        <v>1336</v>
      </c>
      <c r="BA12" s="207">
        <f t="shared" si="5"/>
        <v>427</v>
      </c>
      <c r="BB12" s="207">
        <f t="shared" si="5"/>
        <v>2114</v>
      </c>
      <c r="BC12" s="207">
        <f t="shared" si="5"/>
        <v>5640</v>
      </c>
      <c r="BD12" s="207">
        <f>+BD3+BD9+BD10+BD11</f>
        <v>-195</v>
      </c>
      <c r="BE12" s="207">
        <f t="shared" si="5"/>
        <v>2422</v>
      </c>
      <c r="BF12" s="207">
        <f t="shared" si="5"/>
        <v>-115</v>
      </c>
      <c r="BG12" s="207">
        <f t="shared" si="0"/>
        <v>420</v>
      </c>
      <c r="BH12" s="207">
        <f>+BH3+BH9+BH10+BH11</f>
        <v>2532</v>
      </c>
      <c r="BI12" s="207">
        <f>+BI3+BI9+BI10+BI11</f>
        <v>1217</v>
      </c>
      <c r="BJ12" s="207">
        <f>+BJ3+BJ9+BJ10+BJ11</f>
        <v>309</v>
      </c>
      <c r="BK12" s="207">
        <v>421</v>
      </c>
      <c r="BL12" s="207">
        <f t="shared" si="1"/>
        <v>611</v>
      </c>
      <c r="BM12" s="207">
        <f>+BM3+BM9+BM10+BM11</f>
        <v>2558</v>
      </c>
      <c r="BN12" s="458">
        <f t="shared" si="2"/>
        <v>611</v>
      </c>
      <c r="BO12" s="207">
        <v>813</v>
      </c>
      <c r="BP12" s="366">
        <f>+BP3+BP9+BP10+BP11</f>
        <v>1488</v>
      </c>
      <c r="BR12" s="458"/>
    </row>
    <row r="13" spans="1:70" ht="12.75" hidden="1" customHeight="1">
      <c r="A13" s="532"/>
      <c r="B13" s="1"/>
      <c r="C13" s="178"/>
      <c r="D13" s="14"/>
      <c r="E13" s="179"/>
      <c r="F13" s="178"/>
      <c r="G13" s="178"/>
      <c r="H13" s="178"/>
      <c r="I13" s="178"/>
      <c r="K13" s="179"/>
      <c r="L13" s="178"/>
      <c r="M13" s="178"/>
      <c r="N13" s="178"/>
      <c r="O13" s="178"/>
      <c r="Q13" s="179"/>
      <c r="R13" s="178"/>
      <c r="S13" s="178"/>
      <c r="T13" s="178"/>
      <c r="U13" s="295"/>
      <c r="W13" s="179"/>
      <c r="X13" s="295"/>
      <c r="Y13" s="295"/>
      <c r="Z13" s="295"/>
      <c r="AA13" s="295"/>
      <c r="AC13" s="179"/>
      <c r="AD13" s="296"/>
      <c r="AE13" s="194"/>
      <c r="AF13" s="194"/>
      <c r="AG13" s="194"/>
      <c r="AH13" s="49"/>
      <c r="AI13" s="296"/>
      <c r="AJ13" s="194"/>
      <c r="AK13" s="194"/>
      <c r="AL13" s="295"/>
      <c r="AM13" s="295"/>
      <c r="AN13" s="314"/>
      <c r="AO13" s="212"/>
      <c r="AP13" s="212"/>
      <c r="AQ13" s="212"/>
      <c r="AR13" s="212"/>
      <c r="AS13" s="212"/>
      <c r="AT13" s="212"/>
      <c r="AU13" s="212"/>
      <c r="AV13" s="212"/>
      <c r="AW13" s="212"/>
      <c r="AX13" s="212"/>
      <c r="AY13" s="212"/>
      <c r="AZ13" s="212"/>
      <c r="BA13" s="212"/>
      <c r="BB13" s="212"/>
      <c r="BC13" s="212"/>
      <c r="BD13" s="212"/>
      <c r="BE13" s="212"/>
      <c r="BF13" s="212"/>
      <c r="BG13" s="212">
        <f t="shared" si="0"/>
        <v>0</v>
      </c>
      <c r="BH13" s="212"/>
      <c r="BI13" s="212"/>
      <c r="BJ13" s="212"/>
      <c r="BK13" s="212"/>
      <c r="BL13" s="212">
        <f t="shared" si="1"/>
        <v>0</v>
      </c>
      <c r="BM13" s="212"/>
      <c r="BN13" s="458">
        <f t="shared" si="2"/>
        <v>0</v>
      </c>
      <c r="BO13" s="212"/>
      <c r="BP13" s="352"/>
      <c r="BR13" s="458"/>
    </row>
    <row r="14" spans="1:70" ht="12.75" customHeight="1">
      <c r="A14" s="521" t="s">
        <v>295</v>
      </c>
      <c r="B14" s="2"/>
      <c r="C14" s="176">
        <v>-2179</v>
      </c>
      <c r="D14" s="314"/>
      <c r="E14" s="180">
        <v>-648</v>
      </c>
      <c r="F14" s="176">
        <v>-479</v>
      </c>
      <c r="G14" s="176">
        <v>-588</v>
      </c>
      <c r="H14" s="176">
        <v>-727</v>
      </c>
      <c r="I14" s="176">
        <v>-2442</v>
      </c>
      <c r="K14" s="180">
        <v>-812</v>
      </c>
      <c r="L14" s="176">
        <v>-610</v>
      </c>
      <c r="M14" s="176">
        <v>-573</v>
      </c>
      <c r="N14" s="176">
        <v>-590</v>
      </c>
      <c r="O14" s="176">
        <v>-2585</v>
      </c>
      <c r="Q14" s="180">
        <v>-603</v>
      </c>
      <c r="R14" s="176">
        <v>-371</v>
      </c>
      <c r="S14" s="176">
        <v>-373</v>
      </c>
      <c r="T14" s="176">
        <v>-623</v>
      </c>
      <c r="U14" s="176">
        <v>-1970</v>
      </c>
      <c r="W14" s="180">
        <v>-556</v>
      </c>
      <c r="X14" s="176">
        <v>-386</v>
      </c>
      <c r="Y14" s="176">
        <v>-419</v>
      </c>
      <c r="Z14" s="176">
        <v>-523</v>
      </c>
      <c r="AA14" s="176">
        <v>-1884</v>
      </c>
      <c r="AC14" s="180">
        <v>-789</v>
      </c>
      <c r="AD14" s="218">
        <v>-465</v>
      </c>
      <c r="AE14" s="218">
        <v>-456</v>
      </c>
      <c r="AF14" s="218">
        <v>-584</v>
      </c>
      <c r="AG14" s="218">
        <v>-2294</v>
      </c>
      <c r="AH14" s="49"/>
      <c r="AI14" s="218">
        <v>-709</v>
      </c>
      <c r="AJ14" s="218">
        <v>-461</v>
      </c>
      <c r="AK14" s="218">
        <v>-627</v>
      </c>
      <c r="AL14" s="176">
        <v>-576</v>
      </c>
      <c r="AM14" s="176">
        <v>-2373</v>
      </c>
      <c r="AN14" s="314"/>
      <c r="AO14" s="213">
        <v>-647</v>
      </c>
      <c r="AP14" s="213">
        <v>-557</v>
      </c>
      <c r="AQ14" s="213">
        <v>-517</v>
      </c>
      <c r="AR14" s="213">
        <v>-660</v>
      </c>
      <c r="AS14" s="213">
        <v>-2381</v>
      </c>
      <c r="AT14" s="213">
        <v>-766</v>
      </c>
      <c r="AU14" s="213">
        <v>-562</v>
      </c>
      <c r="AV14" s="213">
        <v>-633</v>
      </c>
      <c r="AW14" s="213">
        <v>-728</v>
      </c>
      <c r="AX14" s="213">
        <v>-2689</v>
      </c>
      <c r="AY14" s="213">
        <v>-869</v>
      </c>
      <c r="AZ14" s="213">
        <v>-681</v>
      </c>
      <c r="BA14" s="213">
        <v>-607</v>
      </c>
      <c r="BB14" s="213">
        <v>-880</v>
      </c>
      <c r="BC14" s="213">
        <v>-3037</v>
      </c>
      <c r="BD14" s="213">
        <v>-1004</v>
      </c>
      <c r="BE14" s="213">
        <v>-641</v>
      </c>
      <c r="BF14" s="213">
        <v>-873</v>
      </c>
      <c r="BG14" s="213">
        <f t="shared" si="0"/>
        <v>-1079</v>
      </c>
      <c r="BH14" s="213">
        <v>-3597</v>
      </c>
      <c r="BI14" s="213">
        <v>-1141</v>
      </c>
      <c r="BJ14" s="213">
        <v>-725</v>
      </c>
      <c r="BK14" s="213">
        <v>-883</v>
      </c>
      <c r="BL14" s="213">
        <f t="shared" si="1"/>
        <v>-1123</v>
      </c>
      <c r="BM14" s="213">
        <v>-3872</v>
      </c>
      <c r="BN14" s="458">
        <f t="shared" si="2"/>
        <v>-1123</v>
      </c>
      <c r="BO14" s="213">
        <v>-1048</v>
      </c>
      <c r="BP14" s="353">
        <v>-809</v>
      </c>
      <c r="BR14" s="458"/>
    </row>
    <row r="15" spans="1:70" ht="12" customHeight="1">
      <c r="A15" s="518" t="s">
        <v>296</v>
      </c>
      <c r="B15" s="2"/>
      <c r="C15" s="174">
        <v>-24</v>
      </c>
      <c r="D15" s="314"/>
      <c r="E15" s="177">
        <v>-11</v>
      </c>
      <c r="F15" s="174">
        <v>-8</v>
      </c>
      <c r="G15" s="174">
        <v>-9</v>
      </c>
      <c r="H15" s="174">
        <v>-11</v>
      </c>
      <c r="I15" s="174">
        <v>-39</v>
      </c>
      <c r="K15" s="177">
        <v>-8</v>
      </c>
      <c r="L15" s="174">
        <v>-1</v>
      </c>
      <c r="M15" s="174">
        <v>-3</v>
      </c>
      <c r="N15" s="174">
        <v>-7</v>
      </c>
      <c r="O15" s="174">
        <v>-19</v>
      </c>
      <c r="Q15" s="177">
        <v>-8</v>
      </c>
      <c r="R15" s="174">
        <v>-1</v>
      </c>
      <c r="S15" s="174">
        <v>-4</v>
      </c>
      <c r="T15" s="174">
        <v>-8</v>
      </c>
      <c r="U15" s="174">
        <v>-21</v>
      </c>
      <c r="W15" s="177">
        <v>-15</v>
      </c>
      <c r="X15" s="174">
        <v>-4</v>
      </c>
      <c r="Y15" s="174">
        <v>-7</v>
      </c>
      <c r="Z15" s="174">
        <v>3</v>
      </c>
      <c r="AA15" s="174">
        <v>-23</v>
      </c>
      <c r="AC15" s="177">
        <v>-56</v>
      </c>
      <c r="AD15" s="217">
        <v>-2</v>
      </c>
      <c r="AE15" s="217">
        <v>-6</v>
      </c>
      <c r="AF15" s="217">
        <v>-8</v>
      </c>
      <c r="AG15" s="217">
        <v>-72</v>
      </c>
      <c r="AH15" s="49"/>
      <c r="AI15" s="217">
        <v>-35</v>
      </c>
      <c r="AJ15" s="217">
        <v>-3</v>
      </c>
      <c r="AK15" s="217">
        <v>-6</v>
      </c>
      <c r="AL15" s="176">
        <v>-5</v>
      </c>
      <c r="AM15" s="174">
        <v>-49</v>
      </c>
      <c r="AN15" s="314"/>
      <c r="AO15" s="213">
        <v>-16</v>
      </c>
      <c r="AP15" s="213">
        <v>13</v>
      </c>
      <c r="AQ15" s="213">
        <v>-21</v>
      </c>
      <c r="AR15" s="213">
        <v>-2</v>
      </c>
      <c r="AS15" s="213">
        <v>-26</v>
      </c>
      <c r="AT15" s="213">
        <v>-15</v>
      </c>
      <c r="AU15" s="213">
        <v>-6</v>
      </c>
      <c r="AV15" s="213">
        <v>-14</v>
      </c>
      <c r="AW15" s="213">
        <v>-7</v>
      </c>
      <c r="AX15" s="213">
        <v>-42</v>
      </c>
      <c r="AY15" s="213">
        <v>-14</v>
      </c>
      <c r="AZ15" s="213">
        <v>-3</v>
      </c>
      <c r="BA15" s="213">
        <v>-3</v>
      </c>
      <c r="BB15" s="213">
        <v>-17</v>
      </c>
      <c r="BC15" s="213">
        <v>-37</v>
      </c>
      <c r="BD15" s="213">
        <v>-15</v>
      </c>
      <c r="BE15" s="213">
        <v>-6</v>
      </c>
      <c r="BF15" s="213">
        <v>-7</v>
      </c>
      <c r="BG15" s="213">
        <f t="shared" si="0"/>
        <v>-10</v>
      </c>
      <c r="BH15" s="213">
        <v>-38</v>
      </c>
      <c r="BI15" s="213">
        <v>-24</v>
      </c>
      <c r="BJ15" s="213">
        <v>-2</v>
      </c>
      <c r="BK15" s="213">
        <v>-8</v>
      </c>
      <c r="BL15" s="213">
        <f t="shared" si="1"/>
        <v>-4</v>
      </c>
      <c r="BM15" s="213">
        <v>-38</v>
      </c>
      <c r="BN15" s="458">
        <f t="shared" si="2"/>
        <v>-4</v>
      </c>
      <c r="BO15" s="213">
        <v>-30</v>
      </c>
      <c r="BP15" s="353">
        <v>-5</v>
      </c>
      <c r="BR15" s="458"/>
    </row>
    <row r="16" spans="1:70" ht="12" customHeight="1">
      <c r="A16" s="518" t="s">
        <v>297</v>
      </c>
      <c r="B16" s="2"/>
      <c r="C16" s="174">
        <v>-1597</v>
      </c>
      <c r="D16" s="314"/>
      <c r="E16" s="177">
        <v>-1155</v>
      </c>
      <c r="F16" s="174">
        <v>-2298</v>
      </c>
      <c r="G16" s="174">
        <v>-332</v>
      </c>
      <c r="H16" s="174">
        <v>-460</v>
      </c>
      <c r="I16" s="174">
        <v>-4245</v>
      </c>
      <c r="K16" s="177">
        <v>-198</v>
      </c>
      <c r="L16" s="174">
        <v>-127</v>
      </c>
      <c r="M16" s="174">
        <v>-132</v>
      </c>
      <c r="N16" s="174">
        <v>-377</v>
      </c>
      <c r="O16" s="174">
        <v>-834</v>
      </c>
      <c r="Q16" s="177">
        <v>0</v>
      </c>
      <c r="R16" s="174">
        <v>-219</v>
      </c>
      <c r="S16" s="174">
        <v>0</v>
      </c>
      <c r="T16" s="174">
        <v>-271</v>
      </c>
      <c r="U16" s="174">
        <v>-490</v>
      </c>
      <c r="W16" s="177">
        <v>-5</v>
      </c>
      <c r="X16" s="174">
        <v>-264</v>
      </c>
      <c r="Y16" s="174">
        <v>0</v>
      </c>
      <c r="Z16" s="174">
        <v>-413</v>
      </c>
      <c r="AA16" s="174">
        <v>-682</v>
      </c>
      <c r="AC16" s="177">
        <v>0</v>
      </c>
      <c r="AD16" s="217">
        <v>-63</v>
      </c>
      <c r="AE16" s="217">
        <v>-109</v>
      </c>
      <c r="AF16" s="217">
        <v>-273</v>
      </c>
      <c r="AG16" s="217">
        <v>-445</v>
      </c>
      <c r="AH16" s="49"/>
      <c r="AI16" s="217">
        <v>0</v>
      </c>
      <c r="AJ16" s="217">
        <v>-270</v>
      </c>
      <c r="AK16" s="217">
        <v>-15</v>
      </c>
      <c r="AL16" s="176">
        <v>-3</v>
      </c>
      <c r="AM16" s="174">
        <v>-288</v>
      </c>
      <c r="AN16" s="314"/>
      <c r="AO16" s="213">
        <v>0</v>
      </c>
      <c r="AP16" s="213">
        <v>0</v>
      </c>
      <c r="AQ16" s="213">
        <v>-20</v>
      </c>
      <c r="AR16" s="213">
        <v>0</v>
      </c>
      <c r="AS16" s="213">
        <v>-20</v>
      </c>
      <c r="AT16" s="213">
        <v>0</v>
      </c>
      <c r="AU16" s="213">
        <v>0</v>
      </c>
      <c r="AV16" s="213">
        <v>-21</v>
      </c>
      <c r="AW16" s="213">
        <v>-2</v>
      </c>
      <c r="AX16" s="213">
        <v>-23</v>
      </c>
      <c r="AY16" s="213">
        <v>-472</v>
      </c>
      <c r="AZ16" s="213">
        <v>0</v>
      </c>
      <c r="BA16" s="213">
        <v>0</v>
      </c>
      <c r="BB16" s="213">
        <v>-357</v>
      </c>
      <c r="BC16" s="213">
        <v>-829</v>
      </c>
      <c r="BD16" s="213">
        <v>-61</v>
      </c>
      <c r="BE16" s="213">
        <v>-130</v>
      </c>
      <c r="BF16" s="213">
        <v>-17</v>
      </c>
      <c r="BG16" s="213">
        <f t="shared" si="0"/>
        <v>-40</v>
      </c>
      <c r="BH16" s="213">
        <v>-248</v>
      </c>
      <c r="BI16" s="213">
        <v>0</v>
      </c>
      <c r="BJ16" s="213">
        <v>0</v>
      </c>
      <c r="BK16" s="213">
        <v>0</v>
      </c>
      <c r="BL16" s="213">
        <f t="shared" si="1"/>
        <v>0</v>
      </c>
      <c r="BM16" s="213">
        <v>0</v>
      </c>
      <c r="BN16" s="458">
        <f t="shared" si="2"/>
        <v>0</v>
      </c>
      <c r="BO16" s="213">
        <v>0</v>
      </c>
      <c r="BP16" s="353">
        <v>0</v>
      </c>
      <c r="BR16" s="458"/>
    </row>
    <row r="17" spans="1:70" ht="12" customHeight="1">
      <c r="A17" s="518" t="s">
        <v>205</v>
      </c>
      <c r="B17" s="2"/>
      <c r="C17" s="174">
        <v>-28</v>
      </c>
      <c r="D17" s="14">
        <v>0</v>
      </c>
      <c r="E17" s="177">
        <v>-70</v>
      </c>
      <c r="F17" s="174">
        <v>-70</v>
      </c>
      <c r="G17" s="174">
        <v>-8</v>
      </c>
      <c r="H17" s="174">
        <v>2</v>
      </c>
      <c r="I17" s="174">
        <v>-146</v>
      </c>
      <c r="J17" s="15">
        <v>0</v>
      </c>
      <c r="K17" s="177">
        <v>-35</v>
      </c>
      <c r="L17" s="174">
        <v>-6</v>
      </c>
      <c r="M17" s="174">
        <v>-39</v>
      </c>
      <c r="N17" s="174">
        <v>28</v>
      </c>
      <c r="O17" s="174">
        <v>-52</v>
      </c>
      <c r="Q17" s="177">
        <v>-40</v>
      </c>
      <c r="R17" s="174">
        <v>16</v>
      </c>
      <c r="S17" s="174">
        <v>-21</v>
      </c>
      <c r="T17" s="174">
        <v>14</v>
      </c>
      <c r="U17" s="174">
        <f>-83+52</f>
        <v>-31</v>
      </c>
      <c r="W17" s="177">
        <v>-32</v>
      </c>
      <c r="X17" s="174">
        <v>105</v>
      </c>
      <c r="Y17" s="174">
        <v>127</v>
      </c>
      <c r="Z17" s="174">
        <v>-10</v>
      </c>
      <c r="AA17" s="174">
        <v>190</v>
      </c>
      <c r="AC17" s="177">
        <v>-24</v>
      </c>
      <c r="AD17" s="217">
        <v>-1</v>
      </c>
      <c r="AE17" s="217">
        <v>-8</v>
      </c>
      <c r="AF17" s="217">
        <v>-10</v>
      </c>
      <c r="AG17" s="217">
        <v>-43</v>
      </c>
      <c r="AH17" s="49"/>
      <c r="AI17" s="217">
        <f>-42-4</f>
        <v>-46</v>
      </c>
      <c r="AJ17" s="217">
        <v>-21</v>
      </c>
      <c r="AK17" s="217">
        <v>33</v>
      </c>
      <c r="AL17" s="176">
        <v>-20</v>
      </c>
      <c r="AM17" s="174">
        <v>-54</v>
      </c>
      <c r="AN17" s="314"/>
      <c r="AO17" s="213">
        <v>31</v>
      </c>
      <c r="AP17" s="213">
        <v>-2</v>
      </c>
      <c r="AQ17" s="213">
        <v>577</v>
      </c>
      <c r="AR17" s="213">
        <v>1214</v>
      </c>
      <c r="AS17" s="213">
        <v>1820</v>
      </c>
      <c r="AT17" s="213">
        <v>400</v>
      </c>
      <c r="AU17" s="213">
        <v>570</v>
      </c>
      <c r="AV17" s="213">
        <v>94</v>
      </c>
      <c r="AW17" s="213">
        <v>61</v>
      </c>
      <c r="AX17" s="213">
        <v>1125</v>
      </c>
      <c r="AY17" s="213">
        <v>-204</v>
      </c>
      <c r="AZ17" s="213">
        <v>33</v>
      </c>
      <c r="BA17" s="213">
        <v>-223</v>
      </c>
      <c r="BB17" s="213">
        <v>-35</v>
      </c>
      <c r="BC17" s="213">
        <v>-429</v>
      </c>
      <c r="BD17" s="213">
        <v>-160</v>
      </c>
      <c r="BE17" s="213">
        <v>22</v>
      </c>
      <c r="BF17" s="213">
        <v>141</v>
      </c>
      <c r="BG17" s="213">
        <f t="shared" si="0"/>
        <v>228</v>
      </c>
      <c r="BH17" s="213">
        <v>231</v>
      </c>
      <c r="BI17" s="213">
        <v>114</v>
      </c>
      <c r="BJ17" s="213">
        <v>281</v>
      </c>
      <c r="BK17" s="213">
        <v>355</v>
      </c>
      <c r="BL17" s="213">
        <f t="shared" si="1"/>
        <v>500</v>
      </c>
      <c r="BM17" s="213">
        <v>1250</v>
      </c>
      <c r="BN17" s="458">
        <f t="shared" si="2"/>
        <v>500</v>
      </c>
      <c r="BO17" s="213">
        <v>591</v>
      </c>
      <c r="BP17" s="353">
        <v>395</v>
      </c>
      <c r="BR17" s="458"/>
    </row>
    <row r="18" spans="1:70" ht="12" customHeight="1">
      <c r="A18" s="520" t="s">
        <v>206</v>
      </c>
      <c r="B18" s="171"/>
      <c r="C18" s="173">
        <f>SUM(C14:C17)</f>
        <v>-3828</v>
      </c>
      <c r="D18" s="14"/>
      <c r="E18" s="175">
        <f>SUM(E14:E17)</f>
        <v>-1884</v>
      </c>
      <c r="F18" s="173">
        <f>SUM(F14:F17)</f>
        <v>-2855</v>
      </c>
      <c r="G18" s="173">
        <f>SUM(G14:G17)</f>
        <v>-937</v>
      </c>
      <c r="H18" s="173">
        <f>SUM(H14:H17)</f>
        <v>-1196</v>
      </c>
      <c r="I18" s="173">
        <f>SUM(I14:I17)</f>
        <v>-6872</v>
      </c>
      <c r="K18" s="175">
        <f>SUM(K14:K17)</f>
        <v>-1053</v>
      </c>
      <c r="L18" s="173">
        <f>SUM(L14:L17)</f>
        <v>-744</v>
      </c>
      <c r="M18" s="173">
        <f>SUM(M14:M17)</f>
        <v>-747</v>
      </c>
      <c r="N18" s="173">
        <f>SUM(N14:N17)</f>
        <v>-946</v>
      </c>
      <c r="O18" s="173">
        <f>SUM(O14:O17)</f>
        <v>-3490</v>
      </c>
      <c r="Q18" s="175">
        <f>SUM(Q14:Q17)</f>
        <v>-651</v>
      </c>
      <c r="R18" s="173">
        <f>SUM(R14:R17)</f>
        <v>-575</v>
      </c>
      <c r="S18" s="173">
        <f>SUM(S14:S17)</f>
        <v>-398</v>
      </c>
      <c r="T18" s="173">
        <f>SUM(T14:T17)</f>
        <v>-888</v>
      </c>
      <c r="U18" s="173">
        <f>U14+U15+U16+U17</f>
        <v>-2512</v>
      </c>
      <c r="W18" s="175">
        <f>SUM(W14:W17)</f>
        <v>-608</v>
      </c>
      <c r="X18" s="173">
        <f>SUM(X14:X17)</f>
        <v>-549</v>
      </c>
      <c r="Y18" s="173">
        <f>SUM(Y14:Y17)</f>
        <v>-299</v>
      </c>
      <c r="Z18" s="173">
        <v>-943</v>
      </c>
      <c r="AA18" s="173">
        <f>SUM(AA14:AA17)</f>
        <v>-2399</v>
      </c>
      <c r="AC18" s="175">
        <f>SUM(AC14:AC17)</f>
        <v>-869</v>
      </c>
      <c r="AD18" s="191">
        <f>SUM(AD14:AD17)</f>
        <v>-531</v>
      </c>
      <c r="AE18" s="191">
        <v>-579</v>
      </c>
      <c r="AF18" s="191">
        <v>-875</v>
      </c>
      <c r="AG18" s="191">
        <v>-2854</v>
      </c>
      <c r="AH18" s="50"/>
      <c r="AI18" s="191">
        <v>-790</v>
      </c>
      <c r="AJ18" s="191">
        <v>-755</v>
      </c>
      <c r="AK18" s="191">
        <f>+AK14+AK15+AK16+AK17</f>
        <v>-615</v>
      </c>
      <c r="AL18" s="173">
        <f>AL14+AL15+AL16+AL17</f>
        <v>-604</v>
      </c>
      <c r="AM18" s="173">
        <f>AM14+AM15+AM16+AM17</f>
        <v>-2764</v>
      </c>
      <c r="AN18" s="14"/>
      <c r="AO18" s="207">
        <f>AO14+AO15+AO16++AO17</f>
        <v>-632</v>
      </c>
      <c r="AP18" s="207">
        <f t="shared" ref="AP18:AV18" si="6">AP14+AP15+AP16+AP17</f>
        <v>-546</v>
      </c>
      <c r="AQ18" s="207">
        <f t="shared" si="6"/>
        <v>19</v>
      </c>
      <c r="AR18" s="207">
        <f t="shared" si="6"/>
        <v>552</v>
      </c>
      <c r="AS18" s="207">
        <f t="shared" si="6"/>
        <v>-607</v>
      </c>
      <c r="AT18" s="207">
        <f t="shared" si="6"/>
        <v>-381</v>
      </c>
      <c r="AU18" s="207">
        <f t="shared" si="6"/>
        <v>2</v>
      </c>
      <c r="AV18" s="207">
        <f t="shared" si="6"/>
        <v>-574</v>
      </c>
      <c r="AW18" s="207">
        <v>-676</v>
      </c>
      <c r="AX18" s="207">
        <f>AX14+AX15+AX16+AX17</f>
        <v>-1629</v>
      </c>
      <c r="AY18" s="207">
        <v>-1559</v>
      </c>
      <c r="AZ18" s="207">
        <f>+AZ14+AZ15+AZ16+AZ17</f>
        <v>-651</v>
      </c>
      <c r="BA18" s="207">
        <f>+BA14+BA15+BA16+BA17</f>
        <v>-833</v>
      </c>
      <c r="BB18" s="207">
        <v>-1289</v>
      </c>
      <c r="BC18" s="207">
        <v>-4332</v>
      </c>
      <c r="BD18" s="207">
        <f>+BD14+BD15+BD16+BD17</f>
        <v>-1240</v>
      </c>
      <c r="BE18" s="207">
        <f>+BE14+BE15+BE16+BE17</f>
        <v>-755</v>
      </c>
      <c r="BF18" s="207">
        <f>+BF14+BF15+BF16+BF17</f>
        <v>-756</v>
      </c>
      <c r="BG18" s="207">
        <f t="shared" si="0"/>
        <v>-901</v>
      </c>
      <c r="BH18" s="207">
        <f>SUM(BH14:BH17)</f>
        <v>-3652</v>
      </c>
      <c r="BI18" s="207">
        <f>+BI14+BI15+BI16+BI17</f>
        <v>-1051</v>
      </c>
      <c r="BJ18" s="207">
        <f>+BJ14+BJ15+BJ16+BJ17</f>
        <v>-446</v>
      </c>
      <c r="BK18" s="207">
        <v>-536</v>
      </c>
      <c r="BL18" s="207">
        <f t="shared" si="1"/>
        <v>-627</v>
      </c>
      <c r="BM18" s="207">
        <f>+BM14+BM15+BM16+BM17</f>
        <v>-2660</v>
      </c>
      <c r="BN18" s="458">
        <f t="shared" si="2"/>
        <v>-627</v>
      </c>
      <c r="BO18" s="207">
        <v>-487</v>
      </c>
      <c r="BP18" s="451">
        <f>+BP14+BP15+BP16+BP17</f>
        <v>-419</v>
      </c>
      <c r="BR18" s="458"/>
    </row>
    <row r="19" spans="1:70" ht="3" customHeight="1">
      <c r="A19" s="532"/>
      <c r="B19" s="1"/>
      <c r="C19" s="178"/>
      <c r="D19" s="14"/>
      <c r="E19" s="179"/>
      <c r="F19" s="178"/>
      <c r="G19" s="178"/>
      <c r="H19" s="178"/>
      <c r="I19" s="178"/>
      <c r="K19" s="179"/>
      <c r="L19" s="178"/>
      <c r="M19" s="178"/>
      <c r="N19" s="178"/>
      <c r="O19" s="178"/>
      <c r="Q19" s="179"/>
      <c r="R19" s="178"/>
      <c r="S19" s="178"/>
      <c r="T19" s="178"/>
      <c r="U19" s="295"/>
      <c r="W19" s="179"/>
      <c r="X19" s="295"/>
      <c r="Y19" s="295"/>
      <c r="Z19" s="295"/>
      <c r="AA19" s="295"/>
      <c r="AC19" s="179"/>
      <c r="AD19" s="296"/>
      <c r="AE19" s="194"/>
      <c r="AF19" s="194"/>
      <c r="AG19" s="194"/>
      <c r="AH19" s="49"/>
      <c r="AI19" s="296"/>
      <c r="AJ19" s="194"/>
      <c r="AK19" s="194"/>
      <c r="AL19" s="295"/>
      <c r="AM19" s="295"/>
      <c r="AN19" s="314"/>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458">
        <f t="shared" si="2"/>
        <v>0</v>
      </c>
      <c r="BO19" s="212"/>
      <c r="BP19" s="352"/>
      <c r="BR19" s="458"/>
    </row>
    <row r="20" spans="1:70" ht="14.45" customHeight="1">
      <c r="A20" s="521" t="s">
        <v>207</v>
      </c>
      <c r="B20" s="2"/>
      <c r="C20" s="176">
        <v>1974</v>
      </c>
      <c r="D20" s="314"/>
      <c r="E20" s="180">
        <v>1137</v>
      </c>
      <c r="F20" s="176">
        <v>2261</v>
      </c>
      <c r="G20" s="176">
        <v>648</v>
      </c>
      <c r="H20" s="176">
        <v>910</v>
      </c>
      <c r="I20" s="176">
        <v>4956</v>
      </c>
      <c r="K20" s="180">
        <v>1044</v>
      </c>
      <c r="L20" s="176">
        <v>870</v>
      </c>
      <c r="M20" s="176">
        <v>915</v>
      </c>
      <c r="N20" s="176">
        <v>369</v>
      </c>
      <c r="O20" s="176">
        <v>3198</v>
      </c>
      <c r="Q20" s="180">
        <v>761</v>
      </c>
      <c r="R20" s="176">
        <v>676</v>
      </c>
      <c r="S20" s="176">
        <v>198</v>
      </c>
      <c r="T20" s="176">
        <v>781</v>
      </c>
      <c r="U20" s="176">
        <v>2416</v>
      </c>
      <c r="W20" s="180">
        <v>1112</v>
      </c>
      <c r="X20" s="176">
        <v>932</v>
      </c>
      <c r="Y20" s="176">
        <f>-8+8</f>
        <v>0</v>
      </c>
      <c r="Z20" s="176">
        <v>213</v>
      </c>
      <c r="AA20" s="176">
        <v>2257</v>
      </c>
      <c r="AC20" s="180">
        <v>3143</v>
      </c>
      <c r="AD20" s="218">
        <v>280</v>
      </c>
      <c r="AE20" s="218">
        <v>953</v>
      </c>
      <c r="AF20" s="218">
        <v>293</v>
      </c>
      <c r="AG20" s="218">
        <v>4669</v>
      </c>
      <c r="AH20" s="49"/>
      <c r="AI20" s="218">
        <v>1662</v>
      </c>
      <c r="AJ20" s="218">
        <v>2390</v>
      </c>
      <c r="AK20" s="218">
        <v>0</v>
      </c>
      <c r="AL20" s="176">
        <v>0</v>
      </c>
      <c r="AM20" s="176">
        <v>4052</v>
      </c>
      <c r="AN20" s="314"/>
      <c r="AO20" s="213">
        <v>0</v>
      </c>
      <c r="AP20" s="213">
        <v>0</v>
      </c>
      <c r="AQ20" s="213">
        <v>0</v>
      </c>
      <c r="AR20" s="213">
        <v>205</v>
      </c>
      <c r="AS20" s="213">
        <v>205</v>
      </c>
      <c r="AT20" s="213">
        <v>0</v>
      </c>
      <c r="AU20" s="213">
        <v>0</v>
      </c>
      <c r="AV20" s="213">
        <v>605</v>
      </c>
      <c r="AW20" s="213">
        <v>0</v>
      </c>
      <c r="AX20" s="213">
        <v>605</v>
      </c>
      <c r="AY20" s="213">
        <v>1299</v>
      </c>
      <c r="AZ20" s="213">
        <v>0</v>
      </c>
      <c r="BA20" s="213">
        <v>215</v>
      </c>
      <c r="BB20" s="213">
        <v>0</v>
      </c>
      <c r="BC20" s="213">
        <v>1514</v>
      </c>
      <c r="BD20" s="213">
        <v>799</v>
      </c>
      <c r="BE20" s="213">
        <v>591</v>
      </c>
      <c r="BF20" s="213">
        <v>494</v>
      </c>
      <c r="BG20" s="213">
        <f t="shared" si="0"/>
        <v>0</v>
      </c>
      <c r="BH20" s="213">
        <v>1884</v>
      </c>
      <c r="BI20" s="213">
        <v>208</v>
      </c>
      <c r="BJ20" s="213">
        <v>191</v>
      </c>
      <c r="BK20" s="213">
        <v>316</v>
      </c>
      <c r="BL20" s="213">
        <f t="shared" si="1"/>
        <v>186</v>
      </c>
      <c r="BM20" s="213">
        <v>901</v>
      </c>
      <c r="BN20" s="458">
        <f t="shared" si="2"/>
        <v>186</v>
      </c>
      <c r="BO20" s="213">
        <v>437</v>
      </c>
      <c r="BP20" s="353">
        <v>360</v>
      </c>
      <c r="BQ20" s="458"/>
      <c r="BR20" s="458"/>
    </row>
    <row r="21" spans="1:70" ht="12" customHeight="1">
      <c r="A21" s="521" t="s">
        <v>298</v>
      </c>
      <c r="B21" s="2"/>
      <c r="C21" s="176">
        <v>0</v>
      </c>
      <c r="D21" s="314">
        <v>0</v>
      </c>
      <c r="E21" s="180">
        <v>0</v>
      </c>
      <c r="F21" s="176">
        <v>0</v>
      </c>
      <c r="G21" s="176">
        <v>0</v>
      </c>
      <c r="H21" s="176">
        <v>0</v>
      </c>
      <c r="I21" s="176">
        <v>0</v>
      </c>
      <c r="K21" s="180">
        <v>0</v>
      </c>
      <c r="L21" s="176">
        <v>0</v>
      </c>
      <c r="M21" s="176">
        <v>0</v>
      </c>
      <c r="N21" s="176">
        <v>0</v>
      </c>
      <c r="O21" s="176">
        <v>0</v>
      </c>
      <c r="Q21" s="180">
        <v>0</v>
      </c>
      <c r="R21" s="176">
        <v>0</v>
      </c>
      <c r="S21" s="176">
        <v>0</v>
      </c>
      <c r="T21" s="176">
        <v>0</v>
      </c>
      <c r="U21" s="176">
        <v>0</v>
      </c>
      <c r="W21" s="180">
        <v>0</v>
      </c>
      <c r="X21" s="176">
        <v>0</v>
      </c>
      <c r="Y21" s="176">
        <v>0</v>
      </c>
      <c r="Z21" s="176">
        <v>0</v>
      </c>
      <c r="AA21" s="176">
        <v>0</v>
      </c>
      <c r="AC21" s="180">
        <v>0</v>
      </c>
      <c r="AD21" s="218">
        <v>2000</v>
      </c>
      <c r="AE21" s="218">
        <v>0</v>
      </c>
      <c r="AF21" s="217">
        <v>0</v>
      </c>
      <c r="AG21" s="218">
        <v>2000</v>
      </c>
      <c r="AH21" s="49"/>
      <c r="AI21" s="218">
        <v>0</v>
      </c>
      <c r="AJ21" s="218">
        <v>0</v>
      </c>
      <c r="AK21" s="218">
        <v>0</v>
      </c>
      <c r="AL21" s="176">
        <v>0</v>
      </c>
      <c r="AM21" s="176">
        <v>0</v>
      </c>
      <c r="AN21" s="314"/>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1000</v>
      </c>
      <c r="BF21" s="213">
        <v>0</v>
      </c>
      <c r="BG21" s="213">
        <f t="shared" si="0"/>
        <v>0</v>
      </c>
      <c r="BH21" s="213">
        <v>1000</v>
      </c>
      <c r="BI21" s="213">
        <v>0</v>
      </c>
      <c r="BJ21" s="213">
        <v>0</v>
      </c>
      <c r="BK21" s="213">
        <v>0</v>
      </c>
      <c r="BL21" s="213">
        <f t="shared" si="1"/>
        <v>1599</v>
      </c>
      <c r="BM21" s="213">
        <v>1599</v>
      </c>
      <c r="BN21" s="458">
        <f t="shared" si="2"/>
        <v>1599</v>
      </c>
      <c r="BO21" s="213">
        <v>0</v>
      </c>
      <c r="BP21" s="353">
        <v>0</v>
      </c>
      <c r="BQ21" s="458"/>
      <c r="BR21" s="458"/>
    </row>
    <row r="22" spans="1:70" ht="12" customHeight="1">
      <c r="A22" s="518" t="s">
        <v>210</v>
      </c>
      <c r="B22" s="2"/>
      <c r="C22" s="174">
        <v>-1135</v>
      </c>
      <c r="D22" s="314"/>
      <c r="E22" s="177">
        <v>0</v>
      </c>
      <c r="F22" s="174">
        <v>0</v>
      </c>
      <c r="G22" s="174">
        <v>-214</v>
      </c>
      <c r="H22" s="174">
        <v>-161</v>
      </c>
      <c r="I22" s="174">
        <v>-375</v>
      </c>
      <c r="K22" s="177">
        <v>-325</v>
      </c>
      <c r="L22" s="174">
        <v>-593</v>
      </c>
      <c r="M22" s="174">
        <v>-813</v>
      </c>
      <c r="N22" s="174">
        <v>-870</v>
      </c>
      <c r="O22" s="174">
        <v>-2601</v>
      </c>
      <c r="Q22" s="177">
        <v>-733</v>
      </c>
      <c r="R22" s="174">
        <v>-774</v>
      </c>
      <c r="S22" s="174">
        <v>0</v>
      </c>
      <c r="T22" s="174">
        <v>-523</v>
      </c>
      <c r="U22" s="174">
        <v>-2030</v>
      </c>
      <c r="W22" s="177">
        <v>-481</v>
      </c>
      <c r="X22" s="174">
        <v>-665</v>
      </c>
      <c r="Y22" s="174">
        <f>-235-8</f>
        <v>-243</v>
      </c>
      <c r="Z22" s="176">
        <f>-764+80</f>
        <v>-684</v>
      </c>
      <c r="AA22" s="176">
        <f>W22+X22+Y22+Z22</f>
        <v>-2073</v>
      </c>
      <c r="AC22" s="177">
        <v>-3065</v>
      </c>
      <c r="AD22" s="217">
        <v>-1951</v>
      </c>
      <c r="AE22" s="217">
        <v>-1352</v>
      </c>
      <c r="AF22" s="217">
        <v>-1358</v>
      </c>
      <c r="AG22" s="217">
        <v>-7726</v>
      </c>
      <c r="AH22" s="49"/>
      <c r="AI22" s="217">
        <v>-449</v>
      </c>
      <c r="AJ22" s="217">
        <v>-2693</v>
      </c>
      <c r="AK22" s="217">
        <v>-1275</v>
      </c>
      <c r="AL22" s="176">
        <v>-61</v>
      </c>
      <c r="AM22" s="174">
        <v>-4478</v>
      </c>
      <c r="AN22" s="314"/>
      <c r="AO22" s="213">
        <v>-1085</v>
      </c>
      <c r="AP22" s="213">
        <v>-458</v>
      </c>
      <c r="AQ22" s="213">
        <v>-68</v>
      </c>
      <c r="AR22" s="213">
        <v>-278</v>
      </c>
      <c r="AS22" s="213">
        <v>-1889</v>
      </c>
      <c r="AT22" s="213">
        <v>-70</v>
      </c>
      <c r="AU22" s="213">
        <v>-83</v>
      </c>
      <c r="AV22" s="213">
        <v>-100</v>
      </c>
      <c r="AW22" s="213">
        <v>-99</v>
      </c>
      <c r="AX22" s="213">
        <v>-352</v>
      </c>
      <c r="AY22" s="213">
        <v>-1256</v>
      </c>
      <c r="AZ22" s="213">
        <v>-298</v>
      </c>
      <c r="BA22" s="213">
        <v>-88</v>
      </c>
      <c r="BB22" s="213">
        <v>-294</v>
      </c>
      <c r="BC22" s="213">
        <v>-1936</v>
      </c>
      <c r="BD22" s="213">
        <v>-285</v>
      </c>
      <c r="BE22" s="213">
        <v>-1274</v>
      </c>
      <c r="BF22" s="213">
        <v>-389</v>
      </c>
      <c r="BG22" s="213">
        <f t="shared" si="0"/>
        <v>-103</v>
      </c>
      <c r="BH22" s="213">
        <v>-2051</v>
      </c>
      <c r="BI22" s="213">
        <v>-101</v>
      </c>
      <c r="BJ22" s="213">
        <v>-285</v>
      </c>
      <c r="BK22" s="213">
        <v>-277</v>
      </c>
      <c r="BL22" s="213">
        <f t="shared" si="1"/>
        <v>-186</v>
      </c>
      <c r="BM22" s="213">
        <v>-849</v>
      </c>
      <c r="BN22" s="458">
        <f t="shared" si="2"/>
        <v>-186</v>
      </c>
      <c r="BO22" s="213">
        <v>-574</v>
      </c>
      <c r="BP22" s="353">
        <v>-651</v>
      </c>
      <c r="BR22" s="458"/>
    </row>
    <row r="23" spans="1:70" ht="12" customHeight="1">
      <c r="A23" s="518" t="s">
        <v>299</v>
      </c>
      <c r="B23" s="2"/>
      <c r="C23" s="174">
        <v>-1000</v>
      </c>
      <c r="D23" s="314"/>
      <c r="E23" s="177">
        <v>0</v>
      </c>
      <c r="F23" s="174">
        <v>-400</v>
      </c>
      <c r="G23" s="174">
        <v>0</v>
      </c>
      <c r="H23" s="174">
        <v>-400</v>
      </c>
      <c r="I23" s="174">
        <v>-800</v>
      </c>
      <c r="K23" s="177">
        <v>0</v>
      </c>
      <c r="L23" s="174">
        <v>0</v>
      </c>
      <c r="M23" s="174">
        <v>-150</v>
      </c>
      <c r="N23" s="174">
        <v>-150</v>
      </c>
      <c r="O23" s="174">
        <v>-300</v>
      </c>
      <c r="Q23" s="177">
        <v>0</v>
      </c>
      <c r="R23" s="174">
        <v>0</v>
      </c>
      <c r="S23" s="174">
        <v>-100</v>
      </c>
      <c r="T23" s="174">
        <v>-100</v>
      </c>
      <c r="U23" s="174">
        <v>-200</v>
      </c>
      <c r="W23" s="177">
        <v>0</v>
      </c>
      <c r="X23" s="174">
        <v>0</v>
      </c>
      <c r="Y23" s="174">
        <v>0</v>
      </c>
      <c r="Z23" s="174">
        <v>0</v>
      </c>
      <c r="AA23" s="174">
        <v>0</v>
      </c>
      <c r="AC23" s="177">
        <v>0</v>
      </c>
      <c r="AD23" s="217">
        <v>0</v>
      </c>
      <c r="AE23" s="217">
        <v>0</v>
      </c>
      <c r="AF23" s="217">
        <v>0</v>
      </c>
      <c r="AG23" s="217">
        <v>0</v>
      </c>
      <c r="AH23" s="49"/>
      <c r="AI23" s="217">
        <v>0</v>
      </c>
      <c r="AJ23" s="217">
        <v>0</v>
      </c>
      <c r="AK23" s="217">
        <v>0</v>
      </c>
      <c r="AL23" s="176">
        <f>AM23-AI23-AJ23-AK23</f>
        <v>0</v>
      </c>
      <c r="AM23" s="174">
        <v>0</v>
      </c>
      <c r="AN23" s="314"/>
      <c r="AO23" s="213">
        <v>0</v>
      </c>
      <c r="AP23" s="213">
        <v>-300</v>
      </c>
      <c r="AQ23" s="213">
        <v>0</v>
      </c>
      <c r="AR23" s="213">
        <v>0</v>
      </c>
      <c r="AS23" s="213">
        <v>-300</v>
      </c>
      <c r="AT23" s="213">
        <v>0</v>
      </c>
      <c r="AU23" s="213">
        <v>0</v>
      </c>
      <c r="AV23" s="213">
        <v>-600</v>
      </c>
      <c r="AW23" s="213">
        <v>0</v>
      </c>
      <c r="AX23" s="213">
        <v>-600</v>
      </c>
      <c r="AY23" s="213">
        <v>0</v>
      </c>
      <c r="AZ23" s="213">
        <v>0</v>
      </c>
      <c r="BA23" s="213">
        <v>-200</v>
      </c>
      <c r="BB23" s="213">
        <v>0</v>
      </c>
      <c r="BC23" s="213">
        <v>-200</v>
      </c>
      <c r="BD23" s="213">
        <v>0</v>
      </c>
      <c r="BE23" s="213">
        <v>0</v>
      </c>
      <c r="BF23" s="213">
        <v>-300</v>
      </c>
      <c r="BG23" s="213">
        <f t="shared" si="0"/>
        <v>0</v>
      </c>
      <c r="BH23" s="213">
        <v>-300</v>
      </c>
      <c r="BI23" s="213">
        <v>0</v>
      </c>
      <c r="BJ23" s="213">
        <v>0</v>
      </c>
      <c r="BK23" s="213">
        <v>0</v>
      </c>
      <c r="BL23" s="213">
        <f t="shared" si="1"/>
        <v>0</v>
      </c>
      <c r="BM23" s="213">
        <v>0</v>
      </c>
      <c r="BN23" s="458">
        <f t="shared" si="2"/>
        <v>0</v>
      </c>
      <c r="BO23" s="213">
        <v>0</v>
      </c>
      <c r="BP23" s="353"/>
      <c r="BR23" s="458"/>
    </row>
    <row r="24" spans="1:70" ht="12" customHeight="1">
      <c r="A24" s="518" t="s">
        <v>300</v>
      </c>
      <c r="B24" s="2"/>
      <c r="C24" s="174">
        <v>-21</v>
      </c>
      <c r="D24" s="314"/>
      <c r="E24" s="177">
        <v>-13</v>
      </c>
      <c r="F24" s="174">
        <v>-15</v>
      </c>
      <c r="G24" s="174">
        <v>-28</v>
      </c>
      <c r="H24" s="174">
        <v>-19</v>
      </c>
      <c r="I24" s="174">
        <v>-75</v>
      </c>
      <c r="K24" s="177">
        <v>-22</v>
      </c>
      <c r="L24" s="174">
        <v>-21</v>
      </c>
      <c r="M24" s="174">
        <v>-37</v>
      </c>
      <c r="N24" s="174">
        <v>-39</v>
      </c>
      <c r="O24" s="174">
        <v>-119</v>
      </c>
      <c r="Q24" s="177">
        <v>-36</v>
      </c>
      <c r="R24" s="174">
        <v>-34</v>
      </c>
      <c r="S24" s="174">
        <v>-34</v>
      </c>
      <c r="T24" s="174">
        <v>-34</v>
      </c>
      <c r="U24" s="174">
        <v>-138</v>
      </c>
      <c r="W24" s="177">
        <v>-30</v>
      </c>
      <c r="X24" s="174">
        <v>-36</v>
      </c>
      <c r="Y24" s="174">
        <v>-41</v>
      </c>
      <c r="Z24" s="174">
        <v>-45</v>
      </c>
      <c r="AA24" s="174">
        <v>-152</v>
      </c>
      <c r="AC24" s="177">
        <v>-48</v>
      </c>
      <c r="AD24" s="217">
        <v>-51</v>
      </c>
      <c r="AE24" s="217">
        <v>-8</v>
      </c>
      <c r="AF24" s="217">
        <v>-121</v>
      </c>
      <c r="AG24" s="217">
        <v>-228</v>
      </c>
      <c r="AH24" s="49"/>
      <c r="AI24" s="217">
        <v>-63</v>
      </c>
      <c r="AJ24" s="217">
        <v>-65</v>
      </c>
      <c r="AK24" s="217">
        <v>-20</v>
      </c>
      <c r="AL24" s="176">
        <v>-25</v>
      </c>
      <c r="AM24" s="174">
        <v>-173</v>
      </c>
      <c r="AN24" s="314"/>
      <c r="AO24" s="213">
        <v>-33</v>
      </c>
      <c r="AP24" s="213">
        <v>-21</v>
      </c>
      <c r="AQ24" s="213">
        <v>-15</v>
      </c>
      <c r="AR24" s="213">
        <v>-20</v>
      </c>
      <c r="AS24" s="213">
        <v>-89</v>
      </c>
      <c r="AT24" s="213">
        <v>-26</v>
      </c>
      <c r="AU24" s="213">
        <v>-32</v>
      </c>
      <c r="AV24" s="213">
        <v>-18</v>
      </c>
      <c r="AW24" s="213">
        <v>-41</v>
      </c>
      <c r="AX24" s="213">
        <v>-117</v>
      </c>
      <c r="AY24" s="213">
        <v>-30</v>
      </c>
      <c r="AZ24" s="213">
        <v>-39</v>
      </c>
      <c r="BA24" s="213">
        <v>-18</v>
      </c>
      <c r="BB24" s="213">
        <v>-58</v>
      </c>
      <c r="BC24" s="213">
        <v>-145</v>
      </c>
      <c r="BD24" s="213">
        <v>-67</v>
      </c>
      <c r="BE24" s="213">
        <v>-59</v>
      </c>
      <c r="BF24" s="213">
        <v>-63</v>
      </c>
      <c r="BG24" s="213">
        <f t="shared" si="0"/>
        <v>-70</v>
      </c>
      <c r="BH24" s="213">
        <v>-259</v>
      </c>
      <c r="BI24" s="213">
        <v>-55</v>
      </c>
      <c r="BJ24" s="213">
        <v>-46</v>
      </c>
      <c r="BK24" s="213">
        <v>-36</v>
      </c>
      <c r="BL24" s="213">
        <f t="shared" si="1"/>
        <v>-18</v>
      </c>
      <c r="BM24" s="213">
        <v>-155</v>
      </c>
      <c r="BN24" s="458">
        <f t="shared" si="2"/>
        <v>-18</v>
      </c>
      <c r="BO24" s="213">
        <v>-47</v>
      </c>
      <c r="BP24" s="353">
        <v>-11</v>
      </c>
      <c r="BR24" s="458"/>
    </row>
    <row r="25" spans="1:70" ht="12" customHeight="1">
      <c r="A25" s="518" t="s">
        <v>205</v>
      </c>
      <c r="B25" s="2"/>
      <c r="C25" s="174">
        <v>-40</v>
      </c>
      <c r="D25" s="314">
        <v>0</v>
      </c>
      <c r="E25" s="177">
        <v>0</v>
      </c>
      <c r="F25" s="174">
        <v>0</v>
      </c>
      <c r="G25" s="174">
        <v>0</v>
      </c>
      <c r="H25" s="174">
        <v>-23</v>
      </c>
      <c r="I25" s="174">
        <v>-23</v>
      </c>
      <c r="J25" s="15">
        <v>0</v>
      </c>
      <c r="K25" s="177">
        <v>0</v>
      </c>
      <c r="L25" s="174">
        <v>8</v>
      </c>
      <c r="M25" s="174">
        <v>0</v>
      </c>
      <c r="N25" s="174">
        <v>0</v>
      </c>
      <c r="O25" s="174">
        <v>8</v>
      </c>
      <c r="Q25" s="177">
        <v>0</v>
      </c>
      <c r="R25" s="174">
        <v>227</v>
      </c>
      <c r="S25" s="174">
        <v>-67</v>
      </c>
      <c r="T25" s="174">
        <v>0</v>
      </c>
      <c r="U25" s="174">
        <v>160</v>
      </c>
      <c r="W25" s="177">
        <v>60</v>
      </c>
      <c r="X25" s="174">
        <v>-100</v>
      </c>
      <c r="Y25" s="174">
        <v>-10</v>
      </c>
      <c r="Z25" s="176">
        <f>50-80</f>
        <v>-30</v>
      </c>
      <c r="AA25" s="176">
        <f>W25+X25+Y25+Z25</f>
        <v>-80</v>
      </c>
      <c r="AC25" s="177">
        <v>55</v>
      </c>
      <c r="AD25" s="217">
        <v>-98</v>
      </c>
      <c r="AE25" s="217">
        <v>22</v>
      </c>
      <c r="AF25" s="217">
        <v>41</v>
      </c>
      <c r="AG25" s="217">
        <v>20</v>
      </c>
      <c r="AH25" s="49"/>
      <c r="AI25" s="217">
        <v>-54</v>
      </c>
      <c r="AJ25" s="217">
        <v>68</v>
      </c>
      <c r="AK25" s="217">
        <v>47</v>
      </c>
      <c r="AL25" s="176">
        <v>31</v>
      </c>
      <c r="AM25" s="174">
        <v>92</v>
      </c>
      <c r="AN25" s="314"/>
      <c r="AO25" s="213">
        <v>-69</v>
      </c>
      <c r="AP25" s="213">
        <v>96</v>
      </c>
      <c r="AQ25" s="213">
        <v>33</v>
      </c>
      <c r="AR25" s="213">
        <v>127</v>
      </c>
      <c r="AS25" s="213">
        <v>187</v>
      </c>
      <c r="AT25" s="213">
        <v>-26</v>
      </c>
      <c r="AU25" s="213">
        <v>-103</v>
      </c>
      <c r="AV25" s="213">
        <v>56</v>
      </c>
      <c r="AW25" s="213">
        <v>636</v>
      </c>
      <c r="AX25" s="213">
        <v>563</v>
      </c>
      <c r="AY25" s="213">
        <v>73</v>
      </c>
      <c r="AZ25" s="213">
        <v>-56</v>
      </c>
      <c r="BA25" s="213">
        <v>12</v>
      </c>
      <c r="BB25" s="213">
        <v>-71</v>
      </c>
      <c r="BC25" s="213">
        <v>-42</v>
      </c>
      <c r="BD25" s="213">
        <v>192</v>
      </c>
      <c r="BE25" s="213">
        <v>-416</v>
      </c>
      <c r="BF25" s="213">
        <v>-154</v>
      </c>
      <c r="BG25" s="213">
        <f t="shared" si="0"/>
        <v>107</v>
      </c>
      <c r="BH25" s="213">
        <v>-271</v>
      </c>
      <c r="BI25" s="213">
        <v>101</v>
      </c>
      <c r="BJ25" s="213">
        <v>-111</v>
      </c>
      <c r="BK25" s="213">
        <v>109</v>
      </c>
      <c r="BL25" s="213">
        <f t="shared" si="1"/>
        <v>-1644</v>
      </c>
      <c r="BM25" s="213">
        <v>-1545</v>
      </c>
      <c r="BN25" s="458">
        <f t="shared" si="2"/>
        <v>-1644</v>
      </c>
      <c r="BO25" s="213">
        <v>-100</v>
      </c>
      <c r="BP25" s="353">
        <v>-132</v>
      </c>
      <c r="BR25" s="458"/>
    </row>
    <row r="26" spans="1:70" ht="12" customHeight="1">
      <c r="A26" s="520" t="s">
        <v>213</v>
      </c>
      <c r="B26" s="171"/>
      <c r="C26" s="173">
        <f>SUM(C20:C25)</f>
        <v>-222</v>
      </c>
      <c r="D26" s="314">
        <f t="shared" ref="D26:I26" si="7">SUM(D20:D25)</f>
        <v>0</v>
      </c>
      <c r="E26" s="175">
        <f t="shared" si="7"/>
        <v>1124</v>
      </c>
      <c r="F26" s="173">
        <f t="shared" si="7"/>
        <v>1846</v>
      </c>
      <c r="G26" s="173">
        <f t="shared" si="7"/>
        <v>406</v>
      </c>
      <c r="H26" s="173">
        <f t="shared" si="7"/>
        <v>307</v>
      </c>
      <c r="I26" s="173">
        <f t="shared" si="7"/>
        <v>3683</v>
      </c>
      <c r="K26" s="175">
        <f>SUM(K20:K25)</f>
        <v>697</v>
      </c>
      <c r="L26" s="173">
        <f>SUM(L20:L25)</f>
        <v>264</v>
      </c>
      <c r="M26" s="173">
        <f>SUM(M20:M25)</f>
        <v>-85</v>
      </c>
      <c r="N26" s="173">
        <f>SUM(N20:N25)</f>
        <v>-690</v>
      </c>
      <c r="O26" s="173">
        <f>SUM(O20:O25)</f>
        <v>186</v>
      </c>
      <c r="Q26" s="175">
        <f>SUM(Q20:Q25)</f>
        <v>-8</v>
      </c>
      <c r="R26" s="173">
        <f>SUM(R20:R25)</f>
        <v>95</v>
      </c>
      <c r="S26" s="173">
        <f>SUM(S20:S25)</f>
        <v>-3</v>
      </c>
      <c r="T26" s="173">
        <f>SUM(T20:T25)</f>
        <v>124</v>
      </c>
      <c r="U26" s="173">
        <f>U20+U22+U23+U24+U25</f>
        <v>208</v>
      </c>
      <c r="W26" s="175">
        <f>SUM(W20:W25)</f>
        <v>661</v>
      </c>
      <c r="X26" s="173">
        <f>SUM(X20:X25)</f>
        <v>131</v>
      </c>
      <c r="Y26" s="173">
        <f>SUM(Y20:Y25)</f>
        <v>-294</v>
      </c>
      <c r="Z26" s="173">
        <v>-546</v>
      </c>
      <c r="AA26" s="173">
        <f>SUM(AA20:AA25)</f>
        <v>-48</v>
      </c>
      <c r="AC26" s="175">
        <f>SUM(AC20:AC25)</f>
        <v>85</v>
      </c>
      <c r="AD26" s="191">
        <f>SUM(AD20:AD25)</f>
        <v>180</v>
      </c>
      <c r="AE26" s="191">
        <v>-385</v>
      </c>
      <c r="AF26" s="191">
        <v>-1145</v>
      </c>
      <c r="AG26" s="191">
        <v>-1265</v>
      </c>
      <c r="AH26" s="50"/>
      <c r="AI26" s="191">
        <v>1096</v>
      </c>
      <c r="AJ26" s="191">
        <v>-300</v>
      </c>
      <c r="AK26" s="191">
        <f>+AK20+AK21+AK22+AK23+AK24+AK25</f>
        <v>-1248</v>
      </c>
      <c r="AL26" s="173">
        <f>AL20+AL21+AL22+AL23+AL24+AL25</f>
        <v>-55</v>
      </c>
      <c r="AM26" s="173">
        <f>AM20+AM21+AM22+AM23+AM24+AM25</f>
        <v>-507</v>
      </c>
      <c r="AN26" s="14"/>
      <c r="AO26" s="207">
        <f>AO20+AO21+AO22+AO24+AO25</f>
        <v>-1187</v>
      </c>
      <c r="AP26" s="207">
        <f t="shared" ref="AP26:AU26" si="8">AP22+AP23+AP24+AP25</f>
        <v>-683</v>
      </c>
      <c r="AQ26" s="207">
        <f t="shared" si="8"/>
        <v>-50</v>
      </c>
      <c r="AR26" s="207">
        <f t="shared" si="8"/>
        <v>-171</v>
      </c>
      <c r="AS26" s="207">
        <f t="shared" si="8"/>
        <v>-2091</v>
      </c>
      <c r="AT26" s="207">
        <f t="shared" si="8"/>
        <v>-122</v>
      </c>
      <c r="AU26" s="207">
        <f t="shared" si="8"/>
        <v>-218</v>
      </c>
      <c r="AV26" s="207">
        <f>AV22+AV23+AV24+AV25</f>
        <v>-662</v>
      </c>
      <c r="AW26" s="207">
        <v>496</v>
      </c>
      <c r="AX26" s="207">
        <f>AX22+AX23+AX24+AX25</f>
        <v>-506</v>
      </c>
      <c r="AY26" s="207">
        <v>86</v>
      </c>
      <c r="AZ26" s="207">
        <f>+AZ20+AZ21+AZ22+AZ23+AZ24+AZ25</f>
        <v>-393</v>
      </c>
      <c r="BA26" s="207">
        <f>+BA20+BA22+BA21+BA23+BA24+BA25</f>
        <v>-79</v>
      </c>
      <c r="BB26" s="207">
        <f>+BB20+BB22+BB21+BB23+BB24+BB25</f>
        <v>-423</v>
      </c>
      <c r="BC26" s="207">
        <v>-809</v>
      </c>
      <c r="BD26" s="207">
        <f>+BD20+BD22+BD21+BD23+BD24+BD25</f>
        <v>639</v>
      </c>
      <c r="BE26" s="207">
        <f>+BE20+BE22+BE21+BE23+BE24+BE25</f>
        <v>-158</v>
      </c>
      <c r="BF26" s="207">
        <f>+BF20+BF22+BF21+BF23+BF24+BF25</f>
        <v>-412</v>
      </c>
      <c r="BG26" s="207">
        <f t="shared" si="0"/>
        <v>-66</v>
      </c>
      <c r="BH26" s="207">
        <f>BH20+BH21+BH22+BH23+BH24+BH25</f>
        <v>3</v>
      </c>
      <c r="BI26" s="207">
        <f>+BI20+BI21+BI22+BI23+BI24+BI25</f>
        <v>153</v>
      </c>
      <c r="BJ26" s="207">
        <f>+BJ20+BJ21+BJ22+BJ23+BJ24+BJ25</f>
        <v>-251</v>
      </c>
      <c r="BK26" s="207">
        <v>112</v>
      </c>
      <c r="BL26" s="207">
        <f t="shared" si="1"/>
        <v>-63</v>
      </c>
      <c r="BM26" s="207">
        <f>+BM20+BM21+BM22+BM23+BM24+BM25</f>
        <v>-49</v>
      </c>
      <c r="BN26" s="458">
        <f t="shared" si="2"/>
        <v>-63</v>
      </c>
      <c r="BO26" s="207">
        <v>-284</v>
      </c>
      <c r="BP26" s="451">
        <f>+BP20+BP21+BP22+BP23+BP24+BP25</f>
        <v>-434</v>
      </c>
      <c r="BR26" s="458"/>
    </row>
    <row r="27" spans="1:70" ht="15" customHeight="1">
      <c r="A27" s="533"/>
      <c r="B27" s="171"/>
      <c r="C27" s="178"/>
      <c r="D27" s="14"/>
      <c r="E27" s="179"/>
      <c r="F27" s="178"/>
      <c r="G27" s="178"/>
      <c r="H27" s="178"/>
      <c r="I27" s="178"/>
      <c r="K27" s="179"/>
      <c r="L27" s="178"/>
      <c r="M27" s="178"/>
      <c r="N27" s="178"/>
      <c r="O27" s="178"/>
      <c r="Q27" s="179"/>
      <c r="R27" s="178"/>
      <c r="S27" s="178"/>
      <c r="T27" s="178"/>
      <c r="U27" s="295"/>
      <c r="W27" s="179"/>
      <c r="X27" s="295"/>
      <c r="Y27" s="295"/>
      <c r="Z27" s="295"/>
      <c r="AA27" s="295"/>
      <c r="AC27" s="179"/>
      <c r="AD27" s="296"/>
      <c r="AE27" s="194"/>
      <c r="AF27" s="194"/>
      <c r="AG27" s="194"/>
      <c r="AH27" s="49"/>
      <c r="AI27" s="296"/>
      <c r="AJ27" s="194"/>
      <c r="AK27" s="194"/>
      <c r="AL27" s="295"/>
      <c r="AM27" s="295"/>
      <c r="AN27" s="314"/>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458">
        <f t="shared" si="2"/>
        <v>0</v>
      </c>
      <c r="BO27" s="212"/>
      <c r="BP27" s="352"/>
      <c r="BR27" s="458"/>
    </row>
    <row r="28" spans="1:70" ht="12" customHeight="1">
      <c r="A28" s="522" t="s">
        <v>214</v>
      </c>
      <c r="B28" s="171"/>
      <c r="C28" s="181">
        <f>C12+C18+C26</f>
        <v>-50</v>
      </c>
      <c r="D28" s="14"/>
      <c r="E28" s="182">
        <f>E12+E18+E26</f>
        <v>397</v>
      </c>
      <c r="F28" s="181">
        <f>F12+F18+F26</f>
        <v>-44</v>
      </c>
      <c r="G28" s="181">
        <f>G12+G18+G26</f>
        <v>158</v>
      </c>
      <c r="H28" s="181">
        <f>H12+H18+H26</f>
        <v>-421</v>
      </c>
      <c r="I28" s="181">
        <f>I12+I18+I26</f>
        <v>90</v>
      </c>
      <c r="K28" s="182">
        <f>K12+K18+K26</f>
        <v>82</v>
      </c>
      <c r="L28" s="181">
        <f>L12+L18+L26</f>
        <v>124</v>
      </c>
      <c r="M28" s="181">
        <f>M12+M18+M26</f>
        <v>-11</v>
      </c>
      <c r="N28" s="181">
        <f>N12+N18+N26</f>
        <v>98</v>
      </c>
      <c r="O28" s="181">
        <f>O12+O18+O26</f>
        <v>293</v>
      </c>
      <c r="Q28" s="182">
        <f>Q12+Q18+Q26</f>
        <v>-112</v>
      </c>
      <c r="R28" s="181">
        <f>R12+R18+R26</f>
        <v>-227</v>
      </c>
      <c r="S28" s="181">
        <f>S12+S18+S26</f>
        <v>6</v>
      </c>
      <c r="T28" s="181">
        <v>109</v>
      </c>
      <c r="U28" s="181">
        <f>U12+U18+U26</f>
        <v>-224</v>
      </c>
      <c r="W28" s="182">
        <f>W12+W18+W26</f>
        <v>-29</v>
      </c>
      <c r="X28" s="181">
        <f>X12+X18+X26</f>
        <v>32</v>
      </c>
      <c r="Y28" s="181">
        <f>Y12+Y18+Y26</f>
        <v>174</v>
      </c>
      <c r="Z28" s="181">
        <f>Z12+Z18+Z26</f>
        <v>191</v>
      </c>
      <c r="AA28" s="181">
        <f>AA12+AA18+AA26</f>
        <v>368</v>
      </c>
      <c r="AC28" s="182">
        <f>AC12+AC18+AC26</f>
        <v>-268</v>
      </c>
      <c r="AD28" s="192">
        <f>AD12+AD18+AD26</f>
        <v>402</v>
      </c>
      <c r="AE28" s="192">
        <f>AE12+AE18+AE26</f>
        <v>-393</v>
      </c>
      <c r="AF28" s="192">
        <f>AG28-AE28-AD28-AC28</f>
        <v>183</v>
      </c>
      <c r="AG28" s="192">
        <v>-76</v>
      </c>
      <c r="AH28" s="50"/>
      <c r="AI28" s="192">
        <v>1360</v>
      </c>
      <c r="AJ28" s="192">
        <v>-184</v>
      </c>
      <c r="AK28" s="192">
        <f>+AK12+AK18+AK26</f>
        <v>-928</v>
      </c>
      <c r="AL28" s="181">
        <v>1297</v>
      </c>
      <c r="AM28" s="181">
        <v>1545</v>
      </c>
      <c r="AN28" s="14"/>
      <c r="AO28" s="214">
        <v>-932</v>
      </c>
      <c r="AP28" s="214">
        <v>-436</v>
      </c>
      <c r="AQ28" s="214">
        <f>AQ12+AQ18+AQ26</f>
        <v>-310</v>
      </c>
      <c r="AR28" s="214">
        <f>AR12+AR18+AR26</f>
        <v>943</v>
      </c>
      <c r="AS28" s="214">
        <f>AS12+AS18+AS26</f>
        <v>-735</v>
      </c>
      <c r="AT28" s="214">
        <v>1336</v>
      </c>
      <c r="AU28" s="214">
        <v>-640</v>
      </c>
      <c r="AV28" s="214">
        <v>-325</v>
      </c>
      <c r="AW28" s="214">
        <v>-715</v>
      </c>
      <c r="AX28" s="214">
        <v>-344</v>
      </c>
      <c r="AY28" s="214">
        <v>289</v>
      </c>
      <c r="AZ28" s="214">
        <f t="shared" ref="AZ28:BF28" si="9">+AZ12+AZ18+AZ26</f>
        <v>292</v>
      </c>
      <c r="BA28" s="214">
        <f t="shared" si="9"/>
        <v>-485</v>
      </c>
      <c r="BB28" s="214">
        <f t="shared" si="9"/>
        <v>402</v>
      </c>
      <c r="BC28" s="214">
        <f t="shared" si="9"/>
        <v>499</v>
      </c>
      <c r="BD28" s="214">
        <f>+BD12+BD18+BD26</f>
        <v>-796</v>
      </c>
      <c r="BE28" s="214">
        <f t="shared" si="9"/>
        <v>1509</v>
      </c>
      <c r="BF28" s="214">
        <f t="shared" si="9"/>
        <v>-1283</v>
      </c>
      <c r="BG28" s="214">
        <f t="shared" si="0"/>
        <v>-547</v>
      </c>
      <c r="BH28" s="214">
        <v>-1117</v>
      </c>
      <c r="BI28" s="214">
        <f>+BI12+BI18+BI26</f>
        <v>319</v>
      </c>
      <c r="BJ28" s="214">
        <f>+BJ12+BJ18+BJ26</f>
        <v>-388</v>
      </c>
      <c r="BK28" s="214">
        <v>-3</v>
      </c>
      <c r="BL28" s="214">
        <f t="shared" si="1"/>
        <v>-79</v>
      </c>
      <c r="BM28" s="214">
        <f>+BM12+BM18+BM26</f>
        <v>-151</v>
      </c>
      <c r="BN28" s="458">
        <f t="shared" si="2"/>
        <v>-79</v>
      </c>
      <c r="BO28" s="214">
        <v>42</v>
      </c>
      <c r="BP28" s="451">
        <v>635</v>
      </c>
      <c r="BR28" s="458"/>
    </row>
    <row r="29" spans="1:70" ht="12" customHeight="1">
      <c r="A29" s="519" t="s">
        <v>301</v>
      </c>
      <c r="B29" s="4"/>
      <c r="C29" s="174">
        <v>12</v>
      </c>
      <c r="D29" s="314"/>
      <c r="E29" s="177">
        <v>-16</v>
      </c>
      <c r="F29" s="174">
        <v>1</v>
      </c>
      <c r="G29" s="174">
        <v>-3</v>
      </c>
      <c r="H29" s="174">
        <v>1</v>
      </c>
      <c r="I29" s="174">
        <v>-17</v>
      </c>
      <c r="K29" s="177">
        <v>21</v>
      </c>
      <c r="L29" s="174">
        <v>7</v>
      </c>
      <c r="M29" s="174">
        <v>-22</v>
      </c>
      <c r="N29" s="174">
        <v>25</v>
      </c>
      <c r="O29" s="174">
        <v>31</v>
      </c>
      <c r="Q29" s="177">
        <v>-25</v>
      </c>
      <c r="R29" s="174">
        <v>0</v>
      </c>
      <c r="S29" s="174">
        <v>0</v>
      </c>
      <c r="T29" s="174">
        <v>1</v>
      </c>
      <c r="U29" s="174">
        <v>-24</v>
      </c>
      <c r="W29" s="177">
        <v>10</v>
      </c>
      <c r="X29" s="174">
        <v>2</v>
      </c>
      <c r="Y29" s="174">
        <v>6</v>
      </c>
      <c r="Z29" s="174">
        <v>7</v>
      </c>
      <c r="AA29" s="174">
        <v>25</v>
      </c>
      <c r="AC29" s="177">
        <v>-32</v>
      </c>
      <c r="AD29" s="217">
        <v>-3</v>
      </c>
      <c r="AE29" s="217">
        <f>-31-AC29-AD29</f>
        <v>4</v>
      </c>
      <c r="AF29" s="217">
        <f>AG29-AE29-AD29-AC29</f>
        <v>-4</v>
      </c>
      <c r="AG29" s="217">
        <v>-35</v>
      </c>
      <c r="AH29" s="49"/>
      <c r="AI29" s="217">
        <v>23</v>
      </c>
      <c r="AJ29" s="217">
        <v>-8</v>
      </c>
      <c r="AK29" s="217">
        <v>2</v>
      </c>
      <c r="AL29" s="176">
        <v>57</v>
      </c>
      <c r="AM29" s="174">
        <v>74</v>
      </c>
      <c r="AN29" s="314"/>
      <c r="AO29" s="213">
        <v>-48</v>
      </c>
      <c r="AP29" s="213">
        <v>-8</v>
      </c>
      <c r="AQ29" s="213">
        <v>-8</v>
      </c>
      <c r="AR29" s="213">
        <v>-4</v>
      </c>
      <c r="AS29" s="213">
        <v>-68</v>
      </c>
      <c r="AT29" s="213">
        <v>-14</v>
      </c>
      <c r="AU29" s="213">
        <v>15</v>
      </c>
      <c r="AV29" s="213">
        <v>-1</v>
      </c>
      <c r="AW29" s="213">
        <v>-3</v>
      </c>
      <c r="AX29" s="213">
        <v>-3</v>
      </c>
      <c r="AY29" s="213">
        <v>-3</v>
      </c>
      <c r="AZ29" s="213">
        <v>12</v>
      </c>
      <c r="BA29" s="213">
        <v>-9</v>
      </c>
      <c r="BB29" s="213">
        <v>-2</v>
      </c>
      <c r="BC29" s="213">
        <v>-2</v>
      </c>
      <c r="BD29" s="213">
        <v>0</v>
      </c>
      <c r="BE29" s="213">
        <v>1</v>
      </c>
      <c r="BF29" s="213">
        <v>2</v>
      </c>
      <c r="BG29" s="213">
        <f t="shared" si="0"/>
        <v>0</v>
      </c>
      <c r="BH29" s="213">
        <v>3</v>
      </c>
      <c r="BI29" s="213">
        <v>-1</v>
      </c>
      <c r="BJ29" s="213">
        <v>0</v>
      </c>
      <c r="BK29" s="213">
        <v>0</v>
      </c>
      <c r="BL29" s="213">
        <f t="shared" si="1"/>
        <v>1</v>
      </c>
      <c r="BM29" s="213">
        <v>0</v>
      </c>
      <c r="BN29" s="458">
        <f t="shared" si="2"/>
        <v>1</v>
      </c>
      <c r="BO29" s="213">
        <v>4</v>
      </c>
      <c r="BP29" s="353">
        <v>-3</v>
      </c>
      <c r="BR29" s="458"/>
    </row>
    <row r="30" spans="1:70" ht="12" customHeight="1">
      <c r="A30" s="519" t="s">
        <v>216</v>
      </c>
      <c r="B30" s="4"/>
      <c r="C30" s="174">
        <v>123</v>
      </c>
      <c r="D30" s="314"/>
      <c r="E30" s="177">
        <v>85</v>
      </c>
      <c r="F30" s="174">
        <v>466</v>
      </c>
      <c r="G30" s="174">
        <v>423</v>
      </c>
      <c r="H30" s="174">
        <v>578</v>
      </c>
      <c r="I30" s="174">
        <v>85</v>
      </c>
      <c r="K30" s="177">
        <v>158</v>
      </c>
      <c r="L30" s="174">
        <v>261</v>
      </c>
      <c r="M30" s="174">
        <v>392</v>
      </c>
      <c r="N30" s="174">
        <v>359</v>
      </c>
      <c r="O30" s="174">
        <v>158</v>
      </c>
      <c r="Q30" s="177">
        <v>482</v>
      </c>
      <c r="R30" s="174">
        <v>345</v>
      </c>
      <c r="S30" s="174">
        <v>118</v>
      </c>
      <c r="T30" s="174">
        <v>124</v>
      </c>
      <c r="U30" s="174">
        <v>482</v>
      </c>
      <c r="W30" s="177">
        <v>234</v>
      </c>
      <c r="X30" s="174">
        <v>215</v>
      </c>
      <c r="Y30" s="174">
        <v>249</v>
      </c>
      <c r="Z30" s="174">
        <v>429</v>
      </c>
      <c r="AA30" s="174">
        <v>234</v>
      </c>
      <c r="AC30" s="177">
        <v>627</v>
      </c>
      <c r="AD30" s="217">
        <v>327</v>
      </c>
      <c r="AE30" s="217">
        <f>AD31</f>
        <v>726</v>
      </c>
      <c r="AF30" s="217">
        <v>337</v>
      </c>
      <c r="AG30" s="217">
        <v>627</v>
      </c>
      <c r="AH30" s="49"/>
      <c r="AI30" s="217">
        <v>516</v>
      </c>
      <c r="AJ30" s="217">
        <v>1899</v>
      </c>
      <c r="AK30" s="217">
        <v>1707</v>
      </c>
      <c r="AL30" s="174">
        <v>781</v>
      </c>
      <c r="AM30" s="174">
        <v>516</v>
      </c>
      <c r="AN30" s="314"/>
      <c r="AO30" s="206">
        <v>2135</v>
      </c>
      <c r="AP30" s="206">
        <v>1155</v>
      </c>
      <c r="AQ30" s="206">
        <v>711</v>
      </c>
      <c r="AR30" s="206">
        <v>393</v>
      </c>
      <c r="AS30" s="206">
        <v>2135</v>
      </c>
      <c r="AT30" s="206">
        <v>1332</v>
      </c>
      <c r="AU30" s="206">
        <v>2654</v>
      </c>
      <c r="AV30" s="206">
        <v>2029</v>
      </c>
      <c r="AW30" s="206">
        <v>1703</v>
      </c>
      <c r="AX30" s="206">
        <v>1332</v>
      </c>
      <c r="AY30" s="206">
        <v>985</v>
      </c>
      <c r="AZ30" s="206">
        <v>1271</v>
      </c>
      <c r="BA30" s="206">
        <v>1575</v>
      </c>
      <c r="BB30" s="206">
        <v>1081</v>
      </c>
      <c r="BC30" s="206">
        <v>985</v>
      </c>
      <c r="BD30" s="206">
        <v>1481</v>
      </c>
      <c r="BE30" s="206">
        <v>685</v>
      </c>
      <c r="BF30" s="206">
        <v>2195</v>
      </c>
      <c r="BG30" s="206">
        <v>914</v>
      </c>
      <c r="BH30" s="206">
        <v>1481</v>
      </c>
      <c r="BI30" s="206">
        <v>367</v>
      </c>
      <c r="BJ30" s="206">
        <v>685</v>
      </c>
      <c r="BK30" s="206">
        <v>297</v>
      </c>
      <c r="BL30" s="206">
        <v>295</v>
      </c>
      <c r="BM30" s="206">
        <v>367</v>
      </c>
      <c r="BN30" s="458">
        <f t="shared" si="2"/>
        <v>-982</v>
      </c>
      <c r="BO30" s="206">
        <v>216</v>
      </c>
      <c r="BP30" s="351">
        <v>262</v>
      </c>
      <c r="BR30" s="458"/>
    </row>
    <row r="31" spans="1:70" ht="12" customHeight="1">
      <c r="A31" s="520" t="s">
        <v>217</v>
      </c>
      <c r="B31" s="171"/>
      <c r="C31" s="173">
        <f>C28+C30+C29</f>
        <v>85</v>
      </c>
      <c r="D31" s="14"/>
      <c r="E31" s="175">
        <f>E28+E30+E29</f>
        <v>466</v>
      </c>
      <c r="F31" s="173">
        <f>F28+F30+F29</f>
        <v>423</v>
      </c>
      <c r="G31" s="173">
        <f>G28+G30+G29</f>
        <v>578</v>
      </c>
      <c r="H31" s="173">
        <f>H28+H30+H29</f>
        <v>158</v>
      </c>
      <c r="I31" s="173">
        <f>I28+I30+I29</f>
        <v>158</v>
      </c>
      <c r="J31" s="14"/>
      <c r="K31" s="175">
        <f t="shared" ref="K31:S31" si="10">K28+K30+K29</f>
        <v>261</v>
      </c>
      <c r="L31" s="173">
        <f t="shared" si="10"/>
        <v>392</v>
      </c>
      <c r="M31" s="173">
        <f t="shared" si="10"/>
        <v>359</v>
      </c>
      <c r="N31" s="173">
        <f t="shared" si="10"/>
        <v>482</v>
      </c>
      <c r="O31" s="173">
        <f t="shared" si="10"/>
        <v>482</v>
      </c>
      <c r="P31" s="14">
        <f t="shared" si="10"/>
        <v>0</v>
      </c>
      <c r="Q31" s="175">
        <f t="shared" si="10"/>
        <v>345</v>
      </c>
      <c r="R31" s="173">
        <f t="shared" si="10"/>
        <v>118</v>
      </c>
      <c r="S31" s="173">
        <f t="shared" si="10"/>
        <v>124</v>
      </c>
      <c r="T31" s="173">
        <v>234</v>
      </c>
      <c r="U31" s="173">
        <v>234</v>
      </c>
      <c r="V31" s="14"/>
      <c r="W31" s="175">
        <f>W28+W30+W29</f>
        <v>215</v>
      </c>
      <c r="X31" s="173">
        <f>X28+X30+X29</f>
        <v>249</v>
      </c>
      <c r="Y31" s="173">
        <f>Y28+Y30+Y29</f>
        <v>429</v>
      </c>
      <c r="Z31" s="173">
        <f>Z28+Z30+Z29</f>
        <v>627</v>
      </c>
      <c r="AA31" s="173">
        <f>AA28+AA30+AA29</f>
        <v>627</v>
      </c>
      <c r="AC31" s="175">
        <f>AC28+AC30+AC29</f>
        <v>327</v>
      </c>
      <c r="AD31" s="191">
        <f>AD28+AD30+AD29</f>
        <v>726</v>
      </c>
      <c r="AE31" s="191">
        <v>337</v>
      </c>
      <c r="AF31" s="191">
        <v>516</v>
      </c>
      <c r="AG31" s="191">
        <v>516</v>
      </c>
      <c r="AH31" s="50"/>
      <c r="AI31" s="191">
        <v>1899</v>
      </c>
      <c r="AJ31" s="191">
        <v>1707</v>
      </c>
      <c r="AK31" s="191">
        <f>+AK28+AK29+AK30</f>
        <v>781</v>
      </c>
      <c r="AL31" s="173">
        <v>2135</v>
      </c>
      <c r="AM31" s="173">
        <f>AM28+AM29+AM30</f>
        <v>2135</v>
      </c>
      <c r="AN31" s="14"/>
      <c r="AO31" s="207">
        <v>1155</v>
      </c>
      <c r="AP31" s="207">
        <v>711</v>
      </c>
      <c r="AQ31" s="207">
        <v>393</v>
      </c>
      <c r="AR31" s="207">
        <v>1332</v>
      </c>
      <c r="AS31" s="207">
        <v>1332</v>
      </c>
      <c r="AT31" s="207">
        <v>2654</v>
      </c>
      <c r="AU31" s="207">
        <v>2029</v>
      </c>
      <c r="AV31" s="207">
        <v>1703</v>
      </c>
      <c r="AW31" s="207">
        <v>985</v>
      </c>
      <c r="AX31" s="207">
        <v>985</v>
      </c>
      <c r="AY31" s="207">
        <v>1271</v>
      </c>
      <c r="AZ31" s="207">
        <v>1575</v>
      </c>
      <c r="BA31" s="207">
        <v>1081</v>
      </c>
      <c r="BB31" s="207">
        <v>1481</v>
      </c>
      <c r="BC31" s="207">
        <v>1481</v>
      </c>
      <c r="BD31" s="207">
        <v>685</v>
      </c>
      <c r="BE31" s="207">
        <v>2195</v>
      </c>
      <c r="BF31" s="207">
        <v>914</v>
      </c>
      <c r="BG31" s="207">
        <v>367</v>
      </c>
      <c r="BH31" s="207">
        <v>367</v>
      </c>
      <c r="BI31" s="207">
        <f>+BI28+BI29+BI30</f>
        <v>685</v>
      </c>
      <c r="BJ31" s="207">
        <f>+BJ28+BJ29+BJ30</f>
        <v>297</v>
      </c>
      <c r="BK31" s="207">
        <v>295</v>
      </c>
      <c r="BL31" s="207">
        <v>216</v>
      </c>
      <c r="BM31" s="207">
        <f>+BM28+BM29+BM30</f>
        <v>216</v>
      </c>
      <c r="BN31" s="458">
        <f t="shared" si="2"/>
        <v>-1061</v>
      </c>
      <c r="BO31" s="207">
        <v>262</v>
      </c>
      <c r="BP31" s="366">
        <f>BP28+BP29+BP30</f>
        <v>894</v>
      </c>
      <c r="BR31" s="458"/>
    </row>
    <row r="32" spans="1:70" ht="12" customHeight="1">
      <c r="A32"/>
      <c r="C32" s="16"/>
      <c r="D32" s="16"/>
      <c r="E32" s="16"/>
      <c r="F32" s="16"/>
      <c r="G32" s="16"/>
      <c r="H32" s="16"/>
      <c r="I32" s="16"/>
      <c r="K32" s="16"/>
      <c r="L32" s="16"/>
      <c r="M32" s="16"/>
      <c r="N32" s="16"/>
      <c r="O32" s="16"/>
      <c r="Q32" s="16"/>
      <c r="R32" s="16"/>
      <c r="S32" s="16"/>
      <c r="T32" s="16"/>
      <c r="U32" s="16"/>
      <c r="BR32" s="458"/>
    </row>
    <row r="33" spans="3:68" ht="12" customHeight="1">
      <c r="C33" s="422"/>
      <c r="D33" s="17"/>
      <c r="E33" s="17"/>
      <c r="F33" s="17"/>
      <c r="G33" s="17"/>
      <c r="H33" s="17"/>
      <c r="I33" s="422"/>
      <c r="K33" s="17"/>
      <c r="L33" s="17"/>
      <c r="M33" s="17"/>
      <c r="N33" s="17"/>
      <c r="O33" s="422"/>
      <c r="Q33" s="17"/>
      <c r="R33" s="17"/>
      <c r="S33" s="17"/>
      <c r="T33" s="17"/>
      <c r="U33" s="17"/>
      <c r="Z33" s="423"/>
      <c r="AA33" s="423"/>
      <c r="AB33" s="423"/>
      <c r="AC33" s="423"/>
      <c r="AD33" s="423"/>
      <c r="AE33" s="423"/>
      <c r="AF33" s="423"/>
      <c r="AG33" s="423"/>
      <c r="AH33" s="423"/>
      <c r="AI33" s="423"/>
      <c r="AJ33" s="423"/>
      <c r="AV33" s="423"/>
      <c r="AW33" s="423"/>
      <c r="AX33" s="423"/>
      <c r="AY33" s="423"/>
      <c r="AZ33" s="423"/>
      <c r="BA33" s="423"/>
      <c r="BB33" s="423"/>
      <c r="BC33" s="423"/>
      <c r="BD33" s="423"/>
      <c r="BE33" s="423"/>
      <c r="BF33" s="423"/>
      <c r="BG33" s="423"/>
      <c r="BH33" s="423"/>
      <c r="BI33" s="423"/>
      <c r="BJ33" s="423"/>
      <c r="BK33" s="15"/>
      <c r="BL33" s="15"/>
      <c r="BM33" s="15"/>
      <c r="BO33" s="15"/>
      <c r="BP33" s="423"/>
    </row>
    <row r="34" spans="3:68" ht="12" customHeight="1">
      <c r="C34" s="16"/>
      <c r="D34" s="16"/>
      <c r="E34" s="16"/>
      <c r="F34" s="16"/>
      <c r="G34" s="16"/>
      <c r="H34" s="16"/>
      <c r="I34" s="16"/>
      <c r="K34" s="16"/>
      <c r="L34" s="16"/>
      <c r="M34" s="16"/>
      <c r="N34" s="16"/>
      <c r="O34" s="16"/>
      <c r="Q34" s="16"/>
      <c r="R34" s="16"/>
      <c r="S34" s="16"/>
      <c r="T34" s="16"/>
      <c r="U34" s="16"/>
      <c r="AE34" s="423"/>
      <c r="AF34" s="423"/>
      <c r="AG34" s="423"/>
      <c r="AH34" s="423"/>
      <c r="AI34" s="423"/>
      <c r="AJ34" s="423"/>
      <c r="BK34" s="15"/>
      <c r="BL34" s="15"/>
      <c r="BM34" s="15"/>
      <c r="BO34" s="15"/>
    </row>
    <row r="35" spans="3:68" ht="12" customHeight="1">
      <c r="C35" s="16"/>
      <c r="D35" s="424"/>
      <c r="E35" s="424"/>
      <c r="F35" s="424"/>
      <c r="G35" s="424"/>
      <c r="H35" s="424"/>
      <c r="I35" s="16"/>
      <c r="K35" s="424"/>
      <c r="L35" s="424"/>
      <c r="M35" s="424"/>
      <c r="N35" s="424"/>
      <c r="O35" s="16"/>
      <c r="Q35" s="424"/>
      <c r="R35" s="424"/>
      <c r="S35" s="424"/>
      <c r="T35" s="424"/>
      <c r="U35" s="424"/>
    </row>
  </sheetData>
  <pageMargins left="0.70866141732283472" right="0.70866141732283472" top="0.74803149606299213" bottom="0.74803149606299213" header="0.31496062992125984" footer="0.31496062992125984"/>
  <pageSetup paperSize="8" scale="39" orientation="landscape" r:id="rId1"/>
  <ignoredErrors>
    <ignoredError sqref="BG9 BG12" formula="1"/>
    <ignoredError sqref="I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14</vt:i4>
      </vt:variant>
    </vt:vector>
  </HeadingPairs>
  <TitlesOfParts>
    <vt:vector size="26" baseType="lpstr">
      <vt:lpstr>Title page</vt:lpstr>
      <vt:lpstr>P&amp;L-Group</vt:lpstr>
      <vt:lpstr>Information on Segment results</vt:lpstr>
      <vt:lpstr>CF - Group</vt:lpstr>
      <vt:lpstr>Balance sheet - Group</vt:lpstr>
      <vt:lpstr>P&amp;L - Company</vt:lpstr>
      <vt:lpstr>CF - Company</vt:lpstr>
      <vt:lpstr>Balance sheet - Company</vt:lpstr>
      <vt:lpstr>Production volume - quarter</vt:lpstr>
      <vt:lpstr>Production volume - month</vt:lpstr>
      <vt:lpstr>Sales volume - quarter</vt:lpstr>
      <vt:lpstr>Sales volume - month</vt:lpstr>
      <vt:lpstr>'P&amp;L-Group'!ausgabe_RZIS</vt:lpstr>
      <vt:lpstr>'Balance sheet - Company'!Obszar_wydruku</vt:lpstr>
      <vt:lpstr>'Balance sheet - Group'!Obszar_wydruku</vt:lpstr>
      <vt:lpstr>'CF - Company'!Obszar_wydruku</vt:lpstr>
      <vt:lpstr>'CF - Group'!Obszar_wydruku</vt:lpstr>
      <vt:lpstr>'Information on Segment results'!Obszar_wydruku</vt:lpstr>
      <vt:lpstr>'P&amp;L - Company'!Obszar_wydruku</vt:lpstr>
      <vt:lpstr>'P&amp;L-Group'!Obszar_wydruku</vt:lpstr>
      <vt:lpstr>'Production volume - month'!Obszar_wydruku</vt:lpstr>
      <vt:lpstr>'Production volume - quarter'!Obszar_wydruku</vt:lpstr>
      <vt:lpstr>'Sales volume - month'!Obszar_wydruku</vt:lpstr>
      <vt:lpstr>'Sales volume - quarter'!Obszar_wydruku</vt:lpstr>
      <vt:lpstr>'Title page'!Obszar_wydruku</vt:lpstr>
      <vt:lpstr>'P&amp;L-Group'!value_1_POKRESPOPRZEDNI05</vt:lpstr>
    </vt:vector>
  </TitlesOfParts>
  <Company>KGHM Polska Miedz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KGHM Polska Miedź S.A.</dc:creator>
  <cp:lastPrinted>2026-05-13T06:55:28Z</cp:lastPrinted>
  <dcterms:created xsi:type="dcterms:W3CDTF">2005-09-12T06:47:42Z</dcterms:created>
  <dcterms:modified xsi:type="dcterms:W3CDTF">2026-08-19T07:38:42Z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KGHM_dane_finansowe_Grupa_Kapitalowa_i_Spolka_3Q2022.XLS</vt:lpwstr>
  </property>
  <property fmtid="{D5CDD505-2E9C-101B-9397-08002B2CF9AE}" pid="3" name="MSIP_Label_fda5d7e0-a6ae-47b8-8592-eac7f470fba7_Enabled">
    <vt:lpwstr>true</vt:lpwstr>
  </property>
  <property fmtid="{D5CDD505-2E9C-101B-9397-08002B2CF9AE}" pid="4" name="MSIP_Label_fda5d7e0-a6ae-47b8-8592-eac7f470fba7_SetDate">
    <vt:lpwstr>2026-05-20T07:28:32Z</vt:lpwstr>
  </property>
  <property fmtid="{D5CDD505-2E9C-101B-9397-08002B2CF9AE}" pid="5" name="MSIP_Label_fda5d7e0-a6ae-47b8-8592-eac7f470fba7_Method">
    <vt:lpwstr>Standard</vt:lpwstr>
  </property>
  <property fmtid="{D5CDD505-2E9C-101B-9397-08002B2CF9AE}" pid="6" name="MSIP_Label_fda5d7e0-a6ae-47b8-8592-eac7f470fba7_Name">
    <vt:lpwstr>Wewnętrzny - SL2 -bez AI</vt:lpwstr>
  </property>
  <property fmtid="{D5CDD505-2E9C-101B-9397-08002B2CF9AE}" pid="7" name="MSIP_Label_fda5d7e0-a6ae-47b8-8592-eac7f470fba7_SiteId">
    <vt:lpwstr>f583f0e4-0fe2-4e46-8bc7-ff287059e206</vt:lpwstr>
  </property>
  <property fmtid="{D5CDD505-2E9C-101B-9397-08002B2CF9AE}" pid="8" name="MSIP_Label_fda5d7e0-a6ae-47b8-8592-eac7f470fba7_ActionId">
    <vt:lpwstr>3e1c0dcc-ef40-4bbf-adac-9c331f6d2396</vt:lpwstr>
  </property>
  <property fmtid="{D5CDD505-2E9C-101B-9397-08002B2CF9AE}" pid="9" name="MSIP_Label_fda5d7e0-a6ae-47b8-8592-eac7f470fba7_ContentBits">
    <vt:lpwstr>0</vt:lpwstr>
  </property>
</Properties>
</file>