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860" tabRatio="845" firstSheet="2" activeTab="3"/>
  </bookViews>
  <sheets>
    <sheet name="BExRepositorySheet" sheetId="1" state="veryHidden" r:id="rId1"/>
    <sheet name="SNVeryHiddenParameterSheet" sheetId="2" state="veryHidden" r:id="rId2"/>
    <sheet name="RZIS - Grupa" sheetId="3" r:id="rId3"/>
    <sheet name="Segmentacja" sheetId="4" r:id="rId4"/>
    <sheet name="CF - Grupa" sheetId="5" r:id="rId5"/>
    <sheet name="BILANS - Grupa" sheetId="6" r:id="rId6"/>
    <sheet name="RZiS - Spółka" sheetId="7" r:id="rId7"/>
    <sheet name="CF - Spółka" sheetId="8" r:id="rId8"/>
    <sheet name="BILANS - Spółka" sheetId="9" r:id="rId9"/>
    <sheet name="Wolumen produkcji - kwartał" sheetId="10" r:id="rId10"/>
    <sheet name="Wolumen produkcji - miesiąc" sheetId="11" r:id="rId11"/>
    <sheet name="Wolumen sprzedaży - kwartał" sheetId="12" r:id="rId12"/>
    <sheet name="Wolumen sprzedaży - miesiąc" sheetId="13" r:id="rId13"/>
  </sheets>
  <definedNames>
    <definedName name="ausgabe_RZIS" localSheetId="2">'RZIS - Grupa'!$A$10:$H$38</definedName>
    <definedName name="ausgabe_RZIS">#REF!</definedName>
    <definedName name="jahr" localSheetId="2">'RZIS - Grupa'!#REF!</definedName>
    <definedName name="jahr" localSheetId="12">#REF!</definedName>
    <definedName name="jahr">#REF!</definedName>
    <definedName name="name_1" localSheetId="2">'RZIS - Grupa'!#REF!</definedName>
    <definedName name="name_1" localSheetId="12">#REF!</definedName>
    <definedName name="name_1">#REF!</definedName>
    <definedName name="_xlnm.Print_Area" localSheetId="5">'BILANS - Grupa'!$A$1:$AD$54</definedName>
    <definedName name="_xlnm.Print_Area" localSheetId="8">'BILANS - Spółka'!$A$1:$AD$50</definedName>
    <definedName name="_xlnm.Print_Area" localSheetId="4">'CF - Grupa'!$A$1:$AL$40</definedName>
    <definedName name="_xlnm.Print_Area" localSheetId="7">'CF - Spółka'!$A$1:$AM$31</definedName>
    <definedName name="_xlnm.Print_Area" localSheetId="2">'RZIS - Grupa'!$A$1:$AQ$74</definedName>
    <definedName name="_xlnm.Print_Area" localSheetId="6">'RZiS - Spółka'!$A$1:$AQ$61</definedName>
    <definedName name="_xlnm.Print_Area" localSheetId="3">'Segmentacja'!$A$1:$I$82</definedName>
    <definedName name="_xlnm.Print_Area" localSheetId="9">'Wolumen produkcji - kwartał'!$A$1:$AJ$20</definedName>
    <definedName name="_xlnm.Print_Area" localSheetId="10">'Wolumen produkcji - miesiąc'!$A$1:$AM$24</definedName>
    <definedName name="_xlnm.Print_Area" localSheetId="11">'Wolumen sprzedaży - kwartał'!$A$1:$AJ$22</definedName>
    <definedName name="_xlnm.Print_Area" localSheetId="12">'Wolumen sprzedaży - miesiąc'!$A$1:$AM$22</definedName>
    <definedName name="prog_1_POKRESBIEZACY04" localSheetId="2">'RZIS - Grupa'!#REF!</definedName>
    <definedName name="prog_1_POKRESBIEZACY04" localSheetId="12">#REF!</definedName>
    <definedName name="prog_1_POKRESBIEZACY04">#REF!</definedName>
    <definedName name="prog_1_POKRESPOPRZEDNI05" localSheetId="2">'RZIS - Grupa'!#REF!</definedName>
    <definedName name="prog_1_POKRESPOPRZEDNI05" localSheetId="12">#REF!</definedName>
    <definedName name="prog_1_POKRESPOPRZEDNI05">#REF!</definedName>
    <definedName name="prog_2_POKRESBIEZACY04" localSheetId="2">'RZIS - Grupa'!#REF!</definedName>
    <definedName name="prog_2_POKRESBIEZACY04" localSheetId="12">#REF!</definedName>
    <definedName name="prog_2_POKRESBIEZACY04">#REF!</definedName>
    <definedName name="prog_2_POKRESPOPRZEDNI05" localSheetId="2">'RZIS - Grupa'!#REF!</definedName>
    <definedName name="prog_2_POKRESPOPRZEDNI05" localSheetId="12">#REF!</definedName>
    <definedName name="prog_2_POKRESPOPRZEDNI05">#REF!</definedName>
    <definedName name="prog_3_POKRESBIEZACY04" localSheetId="2">'RZIS - Grupa'!#REF!</definedName>
    <definedName name="prog_3_POKRESBIEZACY04" localSheetId="12">#REF!</definedName>
    <definedName name="prog_3_POKRESBIEZACY04">#REF!</definedName>
    <definedName name="prog_3_POKRESPOPRZEDNI05" localSheetId="2">'RZIS - Grupa'!#REF!</definedName>
    <definedName name="prog_3_POKRESPOPRZEDNI05" localSheetId="12">#REF!</definedName>
    <definedName name="prog_3_POKRESPOPRZEDNI05">#REF!</definedName>
    <definedName name="spalte_wert_1" localSheetId="2">'RZIS - Grupa'!#REF!</definedName>
    <definedName name="spalte_wert_1" localSheetId="12">#REF!</definedName>
    <definedName name="spalte_wert_1">#REF!</definedName>
    <definedName name="spalte_wert_2" localSheetId="2">'RZIS - Grupa'!#REF!</definedName>
    <definedName name="spalte_wert_2" localSheetId="12">#REF!</definedName>
    <definedName name="spalte_wert_2">#REF!</definedName>
    <definedName name="spalte_wert_3" localSheetId="2">'RZIS - Grupa'!#REF!</definedName>
    <definedName name="spalte_wert_3" localSheetId="12">#REF!</definedName>
    <definedName name="spalte_wert_3">#REF!</definedName>
    <definedName name="stichtag" localSheetId="2">'RZIS - Grupa'!#REF!</definedName>
    <definedName name="stichtag" localSheetId="12">#REF!</definedName>
    <definedName name="stichtag">#REF!</definedName>
    <definedName name="value_1_POKRESBIEZACY04" localSheetId="2">'RZIS - Grupa'!#REF!</definedName>
    <definedName name="value_1_POKRESBIEZACY04" localSheetId="12">#REF!</definedName>
    <definedName name="value_1_POKRESBIEZACY04">#REF!</definedName>
    <definedName name="value_1_POKRESPOPRZEDNI05" localSheetId="2">'RZIS - Grupa'!$H:$H</definedName>
    <definedName name="value_1_POKRESPOPRZEDNI05">#REF!</definedName>
    <definedName name="value_2_POKRESBIEZACY04" localSheetId="2">'RZIS - Grupa'!#REF!</definedName>
    <definedName name="value_2_POKRESBIEZACY04" localSheetId="12">#REF!</definedName>
    <definedName name="value_2_POKRESBIEZACY04">#REF!</definedName>
    <definedName name="value_2_POKRESPOPRZEDNI05" localSheetId="2">'RZIS - Grupa'!#REF!</definedName>
    <definedName name="value_2_POKRESPOPRZEDNI05" localSheetId="12">#REF!</definedName>
    <definedName name="value_2_POKRESPOPRZEDNI05">#REF!</definedName>
    <definedName name="value_3_POKRESBIEZACY04" localSheetId="2">'RZIS - Grupa'!#REF!</definedName>
    <definedName name="value_3_POKRESBIEZACY04" localSheetId="12">#REF!</definedName>
    <definedName name="value_3_POKRESBIEZACY04">#REF!</definedName>
    <definedName name="value_3_POKRESPOPRZEDNI05" localSheetId="2">'RZIS - Grupa'!#REF!</definedName>
    <definedName name="value_3_POKRESPOPRZEDNI05" localSheetId="12">#REF!</definedName>
    <definedName name="value_3_POKRESPOPRZEDNI05">#REF!</definedName>
    <definedName name="vorjahr" localSheetId="2">'RZIS - Grupa'!#REF!</definedName>
    <definedName name="vorjahr" localSheetId="12">#REF!</definedName>
    <definedName name="vorjahr">#REF!</definedName>
  </definedNames>
  <calcPr fullCalcOnLoad="1"/>
</workbook>
</file>

<file path=xl/sharedStrings.xml><?xml version="1.0" encoding="utf-8"?>
<sst xmlns="http://schemas.openxmlformats.org/spreadsheetml/2006/main" count="786" uniqueCount="320">
  <si>
    <t>Wynik z zaangażowania we wspólne przedsięwzięcia</t>
  </si>
  <si>
    <t>Koszty sprzedanych produktów, towarów i materiałów</t>
  </si>
  <si>
    <t xml:space="preserve">Podatek dochodowy 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</si>
  <si>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</si>
  <si>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</si>
  <si>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</si>
  <si>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</si>
  <si>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</si>
  <si>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</si>
  <si>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</si>
  <si>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</si>
  <si>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</si>
  <si>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</si>
  <si>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</si>
  <si>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</si>
  <si>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Koszty sprzedaży</t>
  </si>
  <si>
    <t>Koszty ogólnego zarządu</t>
  </si>
  <si>
    <t>KOSZTY WEDŁUG RODZAJU GRUPY KAPITAŁOWEJ</t>
  </si>
  <si>
    <t>Amortyzacja środków trwałych i wartości niematerialnych</t>
  </si>
  <si>
    <t xml:space="preserve">Koszty świadczeń pracowniczych   </t>
  </si>
  <si>
    <t>Zużycie materiałów i energii</t>
  </si>
  <si>
    <t>Usługi obce</t>
  </si>
  <si>
    <t>Pozostałe podatki i opłaty</t>
  </si>
  <si>
    <t>Pozostałe koszty</t>
  </si>
  <si>
    <t>Razem koszty rodzajowe</t>
  </si>
  <si>
    <t>Wartość sprzedanych towarów i materiałów (+)</t>
  </si>
  <si>
    <t>Zmiana stanu produktów, produkcji w toku  (+/-)</t>
  </si>
  <si>
    <t>Wycena i realizacja instrumentów pochodnych</t>
  </si>
  <si>
    <t>Wycena instrumentów pochodnych</t>
  </si>
  <si>
    <t>Odsetki od zadłużenia</t>
  </si>
  <si>
    <t xml:space="preserve">     KGHM Polska Miedź S.A.</t>
  </si>
  <si>
    <t xml:space="preserve">     KGHM INTERNATIONAL LTD.</t>
  </si>
  <si>
    <t xml:space="preserve">     Sierra Gorda S.C.M.</t>
  </si>
  <si>
    <t>Koszt produkcji miedzi w koncentracie - C1 (USD/funt)</t>
  </si>
  <si>
    <t>-</t>
  </si>
  <si>
    <t>SPRAWOZDANIE Z WYNIKU</t>
  </si>
  <si>
    <r>
      <t xml:space="preserve">Skorygowana EBITDA
</t>
    </r>
    <r>
      <rPr>
        <sz val="7"/>
        <rFont val="Open Sans"/>
        <family val="2"/>
      </rPr>
      <t>(EBITDA + odpisy / odwrócenie odpisów z tytułu utraty wartości 
ujęte w kosztach podstawowej działalności operacyjnej), w tym:</t>
    </r>
  </si>
  <si>
    <t>Zyski / (straty) z tytułu różnic kursowych z wyceny zobowiązań z tytułu zadłużenia</t>
  </si>
  <si>
    <t>Przychody i (koszty) finansowe</t>
  </si>
  <si>
    <t>Odsetki od udzielonych pożyczek dla wspólnych przedsięwzięć</t>
  </si>
  <si>
    <t>Pozostałe przychody i (koszty) operacyjne</t>
  </si>
  <si>
    <t>Zyski / (straty) z tytułu różnic kursowych z wyceny aktywów 
i zobowiązań innych niż zadłużenie</t>
  </si>
  <si>
    <t xml:space="preserve"> Zysk / (Strata) przed opodatkowaniem</t>
  </si>
  <si>
    <t xml:space="preserve"> ZYSK / (STRATA) NETTO</t>
  </si>
  <si>
    <t>Koszty wytworzenia produktów na własne potrzeby Grupy Kapitałowej (-) 
(głównie koszty usuwania nadkładu w kopalniach odkrywkowych)</t>
  </si>
  <si>
    <t>Podatek od wydobycia niektórych kopalin</t>
  </si>
  <si>
    <t>Notowania miedzi (USD/t)</t>
  </si>
  <si>
    <t>Notowania srebra (USD/troz)</t>
  </si>
  <si>
    <t>Kurs walutowy USD/PLN (średni w okresie)</t>
  </si>
  <si>
    <t>Kurs walutowy USD/PLN (na koniec okresu)</t>
  </si>
  <si>
    <t>PODSTAWOWE PARAMETRY MAKROEKONOMICZNE</t>
  </si>
  <si>
    <t>Zysk / (Strata) brutto ze sprzedaży</t>
  </si>
  <si>
    <t>Zysk / (Strata) netto ze sprzedaży (EBIT), w tym:</t>
  </si>
  <si>
    <t>*Na potrzeby kalkulacji marży EBITDA Grupy Kapitałowej skonsolidowane przychody ze sprzedaży powiększone są o przychody ze sprzedaży segmentu Sierra Gorda S.C.M.</t>
  </si>
  <si>
    <r>
      <t xml:space="preserve">Marża EBITDA*
</t>
    </r>
    <r>
      <rPr>
        <sz val="7"/>
        <rFont val="Open Sans"/>
        <family val="2"/>
      </rPr>
      <t>(Stosunek skorygowanej EBITDA do przychodów ze sprzedaży)</t>
    </r>
  </si>
  <si>
    <t>1Q17</t>
  </si>
  <si>
    <t>2Q17</t>
  </si>
  <si>
    <t>DANE FINANSOWE -  SPRAWOZDANIE Z PRZEPŁYWÓW PIENIĘŻNYCH GRUPY KAPITAŁOWEJ KGHM Polska Miedź S.A. (w mln PLN)</t>
  </si>
  <si>
    <t>2015</t>
  </si>
  <si>
    <t>2016</t>
  </si>
  <si>
    <t>3Q17</t>
  </si>
  <si>
    <t>4Q17</t>
  </si>
  <si>
    <t>Zysk / (Strata) przed opodatkowaniem</t>
  </si>
  <si>
    <t>Amortyzacja ujęta w wyniku finansowym</t>
  </si>
  <si>
    <t>Odsetki od pożyczek udzielonych wspólnym przedsięwzięciom</t>
  </si>
  <si>
    <t>Odsetki i pozostałe koszty zadłużenia</t>
  </si>
  <si>
    <t>Razem wyłączenia przychodów i kosztów</t>
  </si>
  <si>
    <t>Podatek dochodowy zapłacony</t>
  </si>
  <si>
    <t>Zmiana stanu kapitału obrotowego</t>
  </si>
  <si>
    <t>Przepływy pieniężne netto z działalności operacyjnej</t>
  </si>
  <si>
    <t>Wydatki związane z aktywami górniczymi i hutniczymi</t>
  </si>
  <si>
    <t>Wydatki na pozostałe rzeczowe i niematerialne aktywa trwałe</t>
  </si>
  <si>
    <t>Płatności z tytułu udzielonych pożyczek wspólnym przedsięwzięciom</t>
  </si>
  <si>
    <t>Objęcie udziałów we wspólnych przedsięwzięciach</t>
  </si>
  <si>
    <t>Pozostałe wpływy / (wydatki)</t>
  </si>
  <si>
    <t>Przepływy pieniężne netto z działalności inwestycyjnej</t>
  </si>
  <si>
    <t xml:space="preserve">Wpływy z tytułu zaciągniętego zadłużenia </t>
  </si>
  <si>
    <t>Płatności z tytułu zadłużenia</t>
  </si>
  <si>
    <t>Dywidendy wypłacone akcjonariuszom Jednostki Dominującej</t>
  </si>
  <si>
    <t>Zapłacone odsetki i pozostałe koszty zadłużenia</t>
  </si>
  <si>
    <t>Pozostałe (wydatki)  / wpływy</t>
  </si>
  <si>
    <t>Przepływy pieniężne netto z działalności finansowej</t>
  </si>
  <si>
    <t>PRZEPŁYWY PIENIĘŻNE NETTO</t>
  </si>
  <si>
    <t>Stan środków pieniężnych i ich ekwiwalentów na początek okresu</t>
  </si>
  <si>
    <t>Różnice kursowe dotyczące środków pieniężnych i ich ekwiwalentów</t>
  </si>
  <si>
    <t>Stan środków pieniężnych i ich ekwiwalentów na koniec okresu</t>
  </si>
  <si>
    <t>WYDATKI NA RZECZOWE AKTYWA TRWAŁE I WARTOŚCI NIEMATERIALNE GŁÓWNYCH SEGMENTÓW:</t>
  </si>
  <si>
    <t>KGHM Polska Miedź S.A.</t>
  </si>
  <si>
    <t>KGHM INTERNATIONAL LTD.</t>
  </si>
  <si>
    <t>Sierra Gorda S.C.M. (55%)</t>
  </si>
  <si>
    <t>DANE FINANSOWE - SPRAWOZDANIE Z SYTUACJI FINANSOWEJ GRUPY KAPITAŁOWEJ KGHM Polska Miedź S.A. ( w mln PLN )</t>
  </si>
  <si>
    <t>AKTYWA</t>
  </si>
  <si>
    <t>Rzeczowe aktywa trwałe górnicze i hutnicze</t>
  </si>
  <si>
    <t>Aktywa niematerialne górnicze i hutnicze</t>
  </si>
  <si>
    <t>Rzeczowe i niematerialne aktywa górnicze i hutnicze</t>
  </si>
  <si>
    <t xml:space="preserve">Pozostałe rzeczowe aktywa trwałe </t>
  </si>
  <si>
    <t>Pozostałe aktywa niematerialne</t>
  </si>
  <si>
    <t>Pozostałe aktywa rzeczowe i niematerialne</t>
  </si>
  <si>
    <t>Wspólne przedsięwzięcia wyceniane metodą praw własności</t>
  </si>
  <si>
    <t xml:space="preserve">Pożyczki udzielone wspólnym przedsięwzięciom </t>
  </si>
  <si>
    <t xml:space="preserve">Łączne zaangażowanie we wspólne przedsięwzięcia </t>
  </si>
  <si>
    <t xml:space="preserve">Pochodne instrumenty finansowe </t>
  </si>
  <si>
    <t>Pozostałe aktywa finansowe</t>
  </si>
  <si>
    <t>Instrumenty finansowe razem</t>
  </si>
  <si>
    <t>Aktywa z tytułu odroczonego podatku dochodowego</t>
  </si>
  <si>
    <t xml:space="preserve">Pozostałe aktywa niefinansowe </t>
  </si>
  <si>
    <t>Aktywa trwałe</t>
  </si>
  <si>
    <t>Zapasy</t>
  </si>
  <si>
    <t>Należności od odbiorców</t>
  </si>
  <si>
    <t>Należności z tytułu podatków</t>
  </si>
  <si>
    <t>Pozostałe aktywa</t>
  </si>
  <si>
    <t>Środki pieniężne i ich ekwiwalenty</t>
  </si>
  <si>
    <t>Aktywa obrotowe</t>
  </si>
  <si>
    <t>Razem aktywa</t>
  </si>
  <si>
    <t>ZOBOWIĄZANIA I KAPITAŁ WŁASNY</t>
  </si>
  <si>
    <t>Kapitał akcyjny</t>
  </si>
  <si>
    <t>Kapitał z tytułu wyceny instrumentów finansowych</t>
  </si>
  <si>
    <t>Zakumulowane pozostałe całkowite dochody</t>
  </si>
  <si>
    <t>Zyski zatrzymane</t>
  </si>
  <si>
    <t>Kapitał własny akcjonariuszy Jednostki Dominującej</t>
  </si>
  <si>
    <t xml:space="preserve">Kapitał własny </t>
  </si>
  <si>
    <t>Pochodne instrumenty finansowe</t>
  </si>
  <si>
    <t>Zobowiązania z tytułu świadczeń pracowniczych</t>
  </si>
  <si>
    <t>Rezerwy na koszty likwidacji kopalń i innych obiektów</t>
  </si>
  <si>
    <t>Zobowiązania z tytułu odroczonego podatku dochodowego</t>
  </si>
  <si>
    <t>Pozostałe zobowiązania</t>
  </si>
  <si>
    <t>Zobowiązania długoterminowe</t>
  </si>
  <si>
    <t>Zobowiązania wobec dostawców</t>
  </si>
  <si>
    <t>Zobowiązania krótkoterminowe</t>
  </si>
  <si>
    <t>Zobowiązanie długo i krótkoterminowe</t>
  </si>
  <si>
    <t>Razem zobowiązania i kapitał własny</t>
  </si>
  <si>
    <t>Zobowiązania z tytułu podatków</t>
  </si>
  <si>
    <t xml:space="preserve">Inne instrumenty finansowe wyceniane w wartości godziwej </t>
  </si>
  <si>
    <t>Pozostałe rzeczowe i niematerialne aktywa</t>
  </si>
  <si>
    <t>Inwestycje w jednostki zależne i wspólne przedsięwzięcia</t>
  </si>
  <si>
    <t>Pożyczki udzielone</t>
  </si>
  <si>
    <t>Inne instrumenty finansowe wyceniane w wartości godziwej</t>
  </si>
  <si>
    <t>Pozostałe aktywa niefinansowe</t>
  </si>
  <si>
    <t>Kapitał własny</t>
  </si>
  <si>
    <t>Rezerwy na koszty likwidacji kopalń i innych obiektów
technologicznych</t>
  </si>
  <si>
    <t>Zobowiązania z tytułu cash pool</t>
  </si>
  <si>
    <t>Zobowiązania długo i krótkoterminowe</t>
  </si>
  <si>
    <t>Miedź</t>
  </si>
  <si>
    <t>Srebro</t>
  </si>
  <si>
    <t xml:space="preserve">Koszty sprzedaży </t>
  </si>
  <si>
    <t>Zysk / (Strata) netto ze sprzedaży (EBIT)</t>
  </si>
  <si>
    <t>Odsetki od udzielonych pożyczek</t>
  </si>
  <si>
    <t>Pozostałe przychody / (koszty) finansowe</t>
  </si>
  <si>
    <t>ZYSK / (STRATA) NETTO</t>
  </si>
  <si>
    <r>
      <t xml:space="preserve">EBITDA  </t>
    </r>
    <r>
      <rPr>
        <sz val="7"/>
        <rFont val="Open Sans"/>
        <family val="2"/>
      </rPr>
      <t>(EBIT + amortyzacja)</t>
    </r>
  </si>
  <si>
    <r>
      <rPr>
        <b/>
        <sz val="7"/>
        <rFont val="Open Sans"/>
        <family val="2"/>
      </rPr>
      <t xml:space="preserve">Skorygowana  EBITDA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Open Sans"/>
        <family val="2"/>
      </rPr>
      <t xml:space="preserve"> (EBITDA + odpisy / odwrócenie odpisów z tytułu utraty wartości
ujęte w kosztach podstawowej działalności operacyjnej)</t>
    </r>
  </si>
  <si>
    <t>Zużycie materiałów i energii w tym:</t>
  </si>
  <si>
    <t>Wsady obce</t>
  </si>
  <si>
    <t>Energia i czynniki energetyczne</t>
  </si>
  <si>
    <t>Usługi obce w tym:</t>
  </si>
  <si>
    <t>Koszty transportu</t>
  </si>
  <si>
    <t>Remonty, konserwacje i serwisy</t>
  </si>
  <si>
    <t>Górnicze roboty przygotowawcze</t>
  </si>
  <si>
    <t xml:space="preserve">Koszty wytworzenia produktów na własne potrzeby (-) </t>
  </si>
  <si>
    <r>
      <t xml:space="preserve">Koszty podstawowej działalności operacyjnej
</t>
    </r>
    <r>
      <rPr>
        <sz val="7"/>
        <color indexed="21"/>
        <rFont val="Open Sans"/>
        <family val="2"/>
      </rPr>
      <t>(koszty sprzedanych produktów, towarów i materiałów, sprzedaży
i ogólnego zarządu)</t>
    </r>
  </si>
  <si>
    <t xml:space="preserve">Płatności z tytułu udzielonych pożyczek </t>
  </si>
  <si>
    <t xml:space="preserve">Dywidendy wypłacone </t>
  </si>
  <si>
    <t>WOLUMEN SPRZEDAŻY PODSTAWOWYCH PRODUKTÓW GRUPY</t>
  </si>
  <si>
    <t>Zmiana (2016 do 2015)</t>
  </si>
  <si>
    <t>Katody i części katod (tys. t)</t>
  </si>
  <si>
    <t>119,6</t>
  </si>
  <si>
    <t>Srebro metaliczne (t)</t>
  </si>
  <si>
    <t>Złoto metaliczne (kg)</t>
  </si>
  <si>
    <t>Ołów rafinowany (tys. t)</t>
  </si>
  <si>
    <t>Grupa Kapitałowa KGHM INTERNATIONAL LTD.</t>
  </si>
  <si>
    <t>Miedź* (tys. t)</t>
  </si>
  <si>
    <t>Nikiel (tys. t)</t>
  </si>
  <si>
    <t>Metale szlachetne** (tys. troz)</t>
  </si>
  <si>
    <t>* miedź w postaci katod miedzianych, miedź płatna w koncentracie, miedź płatna w rudzie</t>
  </si>
  <si>
    <t>** złoto, platyna, pallad</t>
  </si>
  <si>
    <t>WOLUMEN PRODUKCJI PODSTAWOWYCH PRODUKTÓW GRUPY</t>
  </si>
  <si>
    <t>Miedź elektrolityczna (tys. t)</t>
  </si>
  <si>
    <t>Walcówka, drut OFE i CuAg (tys. t)</t>
  </si>
  <si>
    <t>Wlewki okrągłe (tys. t)</t>
  </si>
  <si>
    <t>Złoto metaliczne (tys. troz)</t>
  </si>
  <si>
    <t>Sierra Gorda S.C.M. – segment (55%)</t>
  </si>
  <si>
    <t>Molibden (mln funtów)</t>
  </si>
  <si>
    <t>Metale szlachetne*** (tys. troz)</t>
  </si>
  <si>
    <t>*** złoto</t>
  </si>
  <si>
    <t>(Odwrócenie)/odpisy z tytułu utraty wartości rzeczowych aktywów trwałych i wartości niematerialnych</t>
  </si>
  <si>
    <t>Zmiana (2017 do 2016)</t>
  </si>
  <si>
    <t>1Q18</t>
  </si>
  <si>
    <t>ND</t>
  </si>
  <si>
    <t>Odsetki od udzielonych pożyczek i pozostałych należności finansowych</t>
  </si>
  <si>
    <t>Przychody z umów z klientami, w tym:</t>
  </si>
  <si>
    <t>2Q18</t>
  </si>
  <si>
    <t xml:space="preserve">                                            </t>
  </si>
  <si>
    <t>* Koszt C1 za I kwartał został skorygowany o zmianę na wartości amortyzacji korygującej gotówkowy koszt wytworzenia koncentratu</t>
  </si>
  <si>
    <t>1,83*</t>
  </si>
  <si>
    <t>1,80*</t>
  </si>
  <si>
    <t>3Q18</t>
  </si>
  <si>
    <t>Zyski/(straty) ze zmiany wartości godziwej aktywów finansowych wycenianych w wartości godziwej przez wynik finanowy*</t>
  </si>
  <si>
    <t>Płatna miedź w koncentracie (tys. t)</t>
  </si>
  <si>
    <t>x</t>
  </si>
  <si>
    <t>Płatne srebro w koncentracie (t)</t>
  </si>
  <si>
    <t>Ogółem miedź i wyroby z miedzi (tys. t)</t>
  </si>
  <si>
    <t xml:space="preserve"> -</t>
  </si>
  <si>
    <t>4Q18</t>
  </si>
  <si>
    <t>Pozostałe straty/(odwrócenie strat) z tytułu utraty wartości aktywów trwałych</t>
  </si>
  <si>
    <t>Odpis  z tytułu utraty wartości aktywów niefinansowych</t>
  </si>
  <si>
    <t xml:space="preserve">Pozostałe korekty </t>
  </si>
  <si>
    <t xml:space="preserve">Różnice kursowe </t>
  </si>
  <si>
    <t>(Straty) / odwrócenie strat z tytułu utraty wartości</t>
  </si>
  <si>
    <t xml:space="preserve"> Różnice kursowe z wyceny aktywów
 i zobowiązań innych niż zadłużenie</t>
  </si>
  <si>
    <t>Opłaty i prowizje bankowe od zaciagniętych kredytów i pożyczek</t>
  </si>
  <si>
    <t>Straty / (odwrócenie) strat z tytułu utraty wartości aktywów trwałych</t>
  </si>
  <si>
    <t>(Straty) / Odwrócenie strat z tytułu utraty wartości pożyczek udzielonych wspólnym przedsięwzięciom</t>
  </si>
  <si>
    <t>Straty z tytułu utraty wartości udziałów we wspólnym przedsięwzięciu</t>
  </si>
  <si>
    <t>Pozostałe przychody i (koszty) finansowe</t>
  </si>
  <si>
    <t>Pozostałe przychody / (koszty) operacyjne</t>
  </si>
  <si>
    <t>Zyski (straty) z tytułu różnic kursowych z wyceny zobowiązań z tytułu  zadłużenia</t>
  </si>
  <si>
    <t>*ND - nie dotyczy - pozycje, dla których nie wystąpiła wycena według zasad wynikających z zastosowania od 1 stycznia 2018 r. MSSF 9</t>
  </si>
  <si>
    <t>Zmiana (2018 do 2017)</t>
  </si>
  <si>
    <t>Przychody z umów z klientami, z tego:</t>
  </si>
  <si>
    <t>- od innych segmentów</t>
  </si>
  <si>
    <t>- od klientów zewnętrznych</t>
  </si>
  <si>
    <t>(Straty) / odwrócenie strat z tytułu utraty wartości aktywów trwałych, w tym:</t>
  </si>
  <si>
    <t xml:space="preserve">   odwrócenie straty z tytułu utraty wartości udzielonych pożyczek</t>
  </si>
  <si>
    <t xml:space="preserve">   Aktywa segmentu</t>
  </si>
  <si>
    <t xml:space="preserve">   Wspólne przedsięwzięcia wyceniane metodą praw własności</t>
  </si>
  <si>
    <t xml:space="preserve">   Aktywa niealokowane do segmentów</t>
  </si>
  <si>
    <t xml:space="preserve">   Zobowiązania segmentu</t>
  </si>
  <si>
    <t xml:space="preserve">   Zobowiązania niealokowane do segmentów</t>
  </si>
  <si>
    <t>Wydatki na rzeczowe aktywa trwałe i wartości niematerialne</t>
  </si>
  <si>
    <t>Dane produkcyjne i kosztowe</t>
  </si>
  <si>
    <t>Miedź płatna (tys. t)</t>
  </si>
  <si>
    <t>Srebro (t)</t>
  </si>
  <si>
    <t>TPM (tys. troz)</t>
  </si>
  <si>
    <t>Skorygowana EBITDA</t>
  </si>
  <si>
    <t>Marża EBITDA***</t>
  </si>
  <si>
    <t>* 55% udziału Grupy Kapitałowej w danych finansowych i produkcyjnych Sierra Gorda S.C.M.</t>
  </si>
  <si>
    <t>**** Korekty wynikają z eliminacji konsolidacyjnych i danych finansowych spółek nieprzypisanych do żadnego segmentu.</t>
  </si>
  <si>
    <t>KGHM International Ltd.</t>
  </si>
  <si>
    <t>Sierra Gorda S.C.M.*</t>
  </si>
  <si>
    <t>Pozostałe segmenty</t>
  </si>
  <si>
    <t>Eliminacja danych segmentu Sierra Gorda S.C.M.</t>
  </si>
  <si>
    <t>Skonsolidowane sprawozdanie finansowe</t>
  </si>
  <si>
    <t>Pozycje uzgadniające do danych skonsolidowanych</t>
  </si>
  <si>
    <t>Korekty konsolidacyjne
****</t>
  </si>
  <si>
    <t>Informacje dodatkowe dotyczące istotnych pozycji przychodów/kosztów segmentu</t>
  </si>
  <si>
    <t xml:space="preserve">   (straty) / odwrócenie strat z tytułu utraty wartości inwestycji w spółki zależne</t>
  </si>
  <si>
    <t>Podatek odroczony dotyczący strat z tytułu utraty wartości aktywów trwałych</t>
  </si>
  <si>
    <t>** 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</t>
  </si>
  <si>
    <t>WYNIKI FINANSOWE SEGMENTÓW SPRAWOZDAWCZYCH 
(W MLN PLN)</t>
  </si>
  <si>
    <t>INNE INFORMACJE</t>
  </si>
  <si>
    <t>1Q19</t>
  </si>
  <si>
    <t>2Q19</t>
  </si>
  <si>
    <t>Koszty wg rodzaju</t>
  </si>
  <si>
    <t>Grupy KGHM</t>
  </si>
  <si>
    <t>Miedź płatna (tys. ton)</t>
  </si>
  <si>
    <t>Srebro płatne (tony)</t>
  </si>
  <si>
    <t>Miedź (tys. ton)</t>
  </si>
  <si>
    <t>Srebro (tony)</t>
  </si>
  <si>
    <t>Miedź w koncentracie (tys. ton)</t>
  </si>
  <si>
    <t>Srebro w koncentracie (tony)</t>
  </si>
  <si>
    <t>Miedź elektrolityczna (tys. ton)</t>
  </si>
  <si>
    <t xml:space="preserve"> - w tym z wsadów własnych</t>
  </si>
  <si>
    <t>Srebro metaliczne (tony)</t>
  </si>
  <si>
    <t>KGHM International</t>
  </si>
  <si>
    <t>1,7</t>
  </si>
  <si>
    <t>Grupa KGHM</t>
  </si>
  <si>
    <t>Sierra Gorda*</t>
  </si>
  <si>
    <t>*dla 55% udziałów</t>
  </si>
  <si>
    <t>Udział w stratach wspólnych przedsięwzięć wycenianych metodą praw własności</t>
  </si>
  <si>
    <t>Inne instrumenty finansowe wyceniane w zamortyzowanym koszcie</t>
  </si>
  <si>
    <t>Wpływy z emisji dłużnych instrumentów finansowych</t>
  </si>
  <si>
    <t xml:space="preserve">Wpływy z tytułu zaciągniętych kredytów i pożyczek </t>
  </si>
  <si>
    <t>Wpływy z tytułu emisji dłużnych papierów wartościowych</t>
  </si>
  <si>
    <t>Spłata kredytów i pożyczek</t>
  </si>
  <si>
    <t>Zobowiązania z tytułu kredytów, pożyczek, leasingu oraz dłużnych papierów wartościowych</t>
  </si>
  <si>
    <t>Zakumulowane pozostałe całkowite dochody inne niż z tytułu wyceny instrumentów finansowych</t>
  </si>
  <si>
    <t>3Q19</t>
  </si>
  <si>
    <t>Zyski z tytułu zmiany wartości godziwej aktywów finansowych wycenianych w wartości godziwej przez wynik finansowy</t>
  </si>
  <si>
    <t>4Q19</t>
  </si>
  <si>
    <t>Stan na 31 grudnia 2019</t>
  </si>
  <si>
    <t>Zmiana (2019 do 2018)</t>
  </si>
  <si>
    <r>
      <t xml:space="preserve">Koszty podstawowej działalności operacyjnej 
</t>
    </r>
    <r>
      <rPr>
        <sz val="7"/>
        <color indexed="21"/>
        <rFont val="Open Sans"/>
        <family val="2"/>
      </rPr>
      <t>(koszty sprzedanych produktów, towarów i materiałów, sprzedaży i ogólnego zarządu)</t>
    </r>
  </si>
  <si>
    <t>Straty / (Zysk z odwrócenia strat) z tytułu utraty wartości pożyczek udzielonych wspólnym przedsięwzięciom</t>
  </si>
  <si>
    <t>1Q20</t>
  </si>
  <si>
    <t>Kapitał własny udziałowców niekontrolujących</t>
  </si>
  <si>
    <t>Wynik segmentu - zysk/(strata) netto</t>
  </si>
  <si>
    <t>straty z tytułu utraty wartości inwestycji w spółki zależne</t>
  </si>
  <si>
    <t>Aktywa, w tym:</t>
  </si>
  <si>
    <t>Zobowiązania, w tym:</t>
  </si>
  <si>
    <t>Koszt gotówkowy produkcji miedzi w koncentracie C1 (USD/funt    PLN/funt)**</t>
  </si>
  <si>
    <t>2Q20</t>
  </si>
  <si>
    <t xml:space="preserve"> Wstępne miesięczne wyniki produkcyjne Grupy KGHM Polska Miedź S.A. (zgodnie z publikowanymi Raportami produkcyjno-sprzedażowymi)</t>
  </si>
  <si>
    <t>Zobowiązania wobec dostawców i podobne</t>
  </si>
  <si>
    <t>Odpis z tytułu utraty wartości aktywów trwałych ujęty w kosztach operacyjnych</t>
  </si>
  <si>
    <t>3Q20</t>
  </si>
  <si>
    <t xml:space="preserve">Aktywa trwałe przeznaczone do sprzedaży </t>
  </si>
  <si>
    <t>Zobowiązania związane z aktywami trwałymi przeznaczonymi do sprzedaży</t>
  </si>
  <si>
    <t>4Q20</t>
  </si>
  <si>
    <t>Zmiana     (2020 do 2019)</t>
  </si>
  <si>
    <t>IV kwartał 2020</t>
  </si>
  <si>
    <t>Stan na 31 grudnia 2020</t>
  </si>
  <si>
    <t>IV kwartał 2019</t>
  </si>
  <si>
    <r>
      <t xml:space="preserve">*** Stosunek skorygowanej EBITDA do przychodów ze sprzedaży. Na potrzeby kalkulacji marży EBITDA Grupy Kapitałowej (28%) skonsolidowane przychody ze sprzedaży powiększone zostały o przychody </t>
    </r>
    <r>
      <rPr>
        <sz val="8"/>
        <rFont val="Open Sans"/>
        <family val="2"/>
      </rPr>
      <t xml:space="preserve">ze sprzedaży segmentu Sierra Gorda S.C.M. [2 205 / (7 052 + 925) * 100] </t>
    </r>
  </si>
  <si>
    <t xml:space="preserve">*** Stosunek skorygowanej EBITDA do przychodów ze sprzedaży. Na potrzeby kalkulacji marży EBITDA Grupy Kapitałowej (18%) skonsolidowane przychody ze sprzedaży powiększone zostały o przychody ze sprzedaży segmentu Sierra Gorda S.C.M. [1 117 / (5 854 + 480) * 100] </t>
  </si>
  <si>
    <t>1,68   6,34</t>
  </si>
  <si>
    <t>2,00   7,57</t>
  </si>
  <si>
    <t>1,08   4,08</t>
  </si>
  <si>
    <t>1,83   7,07</t>
  </si>
  <si>
    <t>1,60   6,20</t>
  </si>
  <si>
    <t>1,47   5,70</t>
  </si>
  <si>
    <t>- </t>
  </si>
  <si>
    <t>*** począwszy od publikacji z marca 2021 wolumen sprzedaży granulatów ETP/OFE przeniesiony z pozycji „Walcówka miedziana oraz drut OFE” do pozycji „Pozostałe wyroby z miedzi” (zmiana dotyczy tylko roku 2019 i 2020)</t>
  </si>
  <si>
    <t>Walcówka miedziana oraz drut OFE (tys. t)***</t>
  </si>
  <si>
    <t>Pozostałe wyroby z miedzi (tys. t)***</t>
  </si>
  <si>
    <t>Wstępne miesięczne wyniki sprzedażowe Grupy KGHM Polska Miedź S.A. (zgodnie z opublikowanymi Raportami produkcyjno-sprzedażowymi)</t>
  </si>
  <si>
    <t>DANE FINANSOWE - PRZYCHODY I KOSZTY GRUPY KAPITAŁOWEJ KGHM Polska Miedź S.A. (w mln PLN)</t>
  </si>
  <si>
    <t>DANE FINANSOWE - PRZYCHODY I KOSZTY                                                     KGHM Polska Miedź S.A. (w mln PLN)</t>
  </si>
  <si>
    <t>Zmiana                            (2020 do 2019)</t>
  </si>
  <si>
    <t>DANE FINANSOWE - SPRAWOZDANIE Z SYTUACJI FINANSOWEJ KGHM Polska Miedź S.A. (w mln PLN)</t>
  </si>
  <si>
    <t>DANE FINANSOWE - SPRAWOZDANIE Z PRZEPŁYWÓW PIENIĘŻNYCH KGHM Polska Miedź S.A. (w mln PLN)</t>
  </si>
</sst>
</file>

<file path=xl/styles.xml><?xml version="1.0" encoding="utf-8"?>
<styleSheet xmlns="http://schemas.openxmlformats.org/spreadsheetml/2006/main">
  <numFmts count="6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"/>
    <numFmt numFmtId="165" formatCode="#,###"/>
    <numFmt numFmtId="166" formatCode="#,##0.00\ &quot;zł&quot;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  <numFmt numFmtId="171" formatCode="#,##0.000"/>
    <numFmt numFmtId="172" formatCode="#,##0.0000"/>
    <numFmt numFmtId="173" formatCode="#,##0.0"/>
    <numFmt numFmtId="174" formatCode="#,##0;\(#,##0\);\-"/>
    <numFmt numFmtId="175" formatCode="#,##0.00;\(#,##0.00\)"/>
    <numFmt numFmtId="176" formatCode="#\ ##0;\(#\ ##0\);\-"/>
    <numFmt numFmtId="177" formatCode="[$-415]d\ mmmm\ yyyy"/>
    <numFmt numFmtId="178" formatCode="00\-000"/>
    <numFmt numFmtId="179" formatCode="#\ ##0.00;\(#\ ##0.00\);\-"/>
    <numFmt numFmtId="180" formatCode="#\ ##0.00;\(###0.00\);\-"/>
    <numFmt numFmtId="181" formatCode="#\ ##0;\(###0\);\-"/>
    <numFmt numFmtId="182" formatCode="#.0\ ##0;\(#.0\ ##0\);\-"/>
    <numFmt numFmtId="183" formatCode="#.00\ ##0;\(#.00\ ##0\);\-"/>
    <numFmt numFmtId="184" formatCode="#,##0;\ \(#,##0\);\-"/>
    <numFmt numFmtId="185" formatCode="0.0"/>
    <numFmt numFmtId="186" formatCode="0.0%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#.##0;\(#.##0\);\-"/>
    <numFmt numFmtId="192" formatCode="#.##;\(#.##\);\-"/>
    <numFmt numFmtId="193" formatCode="#.#;\(#.#\);\-"/>
    <numFmt numFmtId="194" formatCode="#.###;\(#.###\);\-"/>
    <numFmt numFmtId="195" formatCode="#.####;\(#.####\);\-"/>
    <numFmt numFmtId="196" formatCode="_-* #,##0.000\ _D_M_-;\-* #,##0.000\ _D_M_-;_-* &quot;-&quot;??\ _D_M_-;_-@_-"/>
    <numFmt numFmtId="197" formatCode="_-* #,##0.0\ _D_M_-;\-* #,##0.0\ _D_M_-;_-* &quot;-&quot;??\ _D_M_-;_-@_-"/>
    <numFmt numFmtId="198" formatCode="_-* #,##0\ _D_M_-;\-* #,##0\ _D_M_-;_-* &quot;-&quot;??\ _D_M_-;_-@_-"/>
    <numFmt numFmtId="199" formatCode="#,##0.0\ &quot;zł&quot;"/>
    <numFmt numFmtId="200" formatCode="#,##0\ &quot;zł&quot;"/>
    <numFmt numFmtId="201" formatCode="#,##0\ _z_ł"/>
    <numFmt numFmtId="202" formatCode="#.#####;\(#.#####\);\-"/>
    <numFmt numFmtId="203" formatCode="#.######;\(#.######\);\-"/>
    <numFmt numFmtId="204" formatCode="#.#######;\(#.#######\);\-"/>
    <numFmt numFmtId="205" formatCode="#.########;\(#.########\);\-"/>
    <numFmt numFmtId="206" formatCode="#,##0.0;\(#,##0.0\);\-"/>
    <numFmt numFmtId="207" formatCode="0.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%"/>
    <numFmt numFmtId="214" formatCode="0.000000000"/>
    <numFmt numFmtId="215" formatCode="0.0000000000"/>
    <numFmt numFmtId="216" formatCode="#\ ##0.0;\(#\ ##0.0\);\-"/>
  </numFmts>
  <fonts count="109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sz val="7"/>
      <color indexed="21"/>
      <name val="Open Sans"/>
      <family val="2"/>
    </font>
    <font>
      <sz val="8"/>
      <name val="Open Sans"/>
      <family val="2"/>
    </font>
    <font>
      <b/>
      <sz val="10"/>
      <name val="Arial"/>
      <family val="2"/>
    </font>
    <font>
      <b/>
      <sz val="8"/>
      <name val="Open Sans"/>
      <family val="2"/>
    </font>
    <font>
      <b/>
      <sz val="10"/>
      <name val="Open Sans"/>
      <family val="2"/>
    </font>
    <font>
      <sz val="8"/>
      <name val="Times New Roman"/>
      <family val="1"/>
    </font>
    <font>
      <i/>
      <sz val="8"/>
      <name val="Open Sans"/>
      <family val="2"/>
    </font>
    <font>
      <b/>
      <sz val="7"/>
      <color indexed="21"/>
      <name val="Open Sans"/>
      <family val="2"/>
    </font>
    <font>
      <sz val="7"/>
      <color indexed="8"/>
      <name val="Open Sans"/>
      <family val="2"/>
    </font>
    <font>
      <sz val="7"/>
      <color indexed="60"/>
      <name val="Open Sans"/>
      <family val="2"/>
    </font>
    <font>
      <b/>
      <u val="single"/>
      <sz val="7"/>
      <color indexed="21"/>
      <name val="Open Sans"/>
      <family val="2"/>
    </font>
    <font>
      <sz val="7"/>
      <color indexed="9"/>
      <name val="Open Sans"/>
      <family val="2"/>
    </font>
    <font>
      <b/>
      <sz val="7"/>
      <color indexed="9"/>
      <name val="Open Sans"/>
      <family val="2"/>
    </font>
    <font>
      <sz val="8"/>
      <color indexed="63"/>
      <name val="Open Sans"/>
      <family val="2"/>
    </font>
    <font>
      <b/>
      <sz val="8"/>
      <color indexed="63"/>
      <name val="Open Sans"/>
      <family val="2"/>
    </font>
    <font>
      <sz val="8"/>
      <color indexed="22"/>
      <name val="Open Sans"/>
      <family val="2"/>
    </font>
    <font>
      <sz val="8"/>
      <color indexed="10"/>
      <name val="Open Sans"/>
      <family val="2"/>
    </font>
    <font>
      <b/>
      <sz val="7"/>
      <color indexed="60"/>
      <name val="Open Sans"/>
      <family val="2"/>
    </font>
    <font>
      <sz val="10"/>
      <color indexed="63"/>
      <name val="Open Sans"/>
      <family val="2"/>
    </font>
    <font>
      <b/>
      <sz val="10"/>
      <color indexed="63"/>
      <name val="Open Sans"/>
      <family val="2"/>
    </font>
    <font>
      <b/>
      <sz val="8"/>
      <color indexed="21"/>
      <name val="Open Sans"/>
      <family val="2"/>
    </font>
    <font>
      <b/>
      <sz val="7"/>
      <color indexed="8"/>
      <name val="Open Sans"/>
      <family val="2"/>
    </font>
    <font>
      <sz val="6"/>
      <color indexed="8"/>
      <name val="Open Sans"/>
      <family val="2"/>
    </font>
    <font>
      <b/>
      <sz val="6"/>
      <color indexed="8"/>
      <name val="Open Sans"/>
      <family val="2"/>
    </font>
    <font>
      <b/>
      <sz val="2"/>
      <color indexed="8"/>
      <name val="Open Sans"/>
      <family val="2"/>
    </font>
    <font>
      <sz val="8"/>
      <color indexed="9"/>
      <name val="Open Sans"/>
      <family val="2"/>
    </font>
    <font>
      <sz val="8"/>
      <color indexed="21"/>
      <name val="Open Sans"/>
      <family val="2"/>
    </font>
    <font>
      <b/>
      <sz val="8"/>
      <color indexed="8"/>
      <name val="Open Sans"/>
      <family val="2"/>
    </font>
    <font>
      <b/>
      <sz val="8"/>
      <color indexed="9"/>
      <name val="Open Sans"/>
      <family val="2"/>
    </font>
    <font>
      <i/>
      <sz val="8"/>
      <color indexed="63"/>
      <name val="Open Sans"/>
      <family val="2"/>
    </font>
    <font>
      <sz val="11"/>
      <color theme="1"/>
      <name val="Calibri"/>
      <family val="2"/>
    </font>
    <font>
      <b/>
      <sz val="7"/>
      <color rgb="FF00A082"/>
      <name val="Open Sans"/>
      <family val="2"/>
    </font>
    <font>
      <sz val="7"/>
      <color rgb="FF000000"/>
      <name val="Open Sans"/>
      <family val="2"/>
    </font>
    <font>
      <sz val="7"/>
      <color rgb="FF993300"/>
      <name val="Open Sans"/>
      <family val="2"/>
    </font>
    <font>
      <sz val="7"/>
      <color rgb="FF00A082"/>
      <name val="Open Sans"/>
      <family val="2"/>
    </font>
    <font>
      <b/>
      <u val="single"/>
      <sz val="7"/>
      <color rgb="FF00A082"/>
      <name val="Open Sans"/>
      <family val="2"/>
    </font>
    <font>
      <sz val="7"/>
      <color theme="1"/>
      <name val="Open Sans"/>
      <family val="2"/>
    </font>
    <font>
      <sz val="7"/>
      <color theme="0"/>
      <name val="Open Sans"/>
      <family val="2"/>
    </font>
    <font>
      <b/>
      <sz val="7"/>
      <color theme="0"/>
      <name val="Open Sans"/>
      <family val="2"/>
    </font>
    <font>
      <sz val="8"/>
      <color theme="1" tint="0.15000000596046448"/>
      <name val="Open Sans"/>
      <family val="2"/>
    </font>
    <font>
      <b/>
      <sz val="8"/>
      <color theme="1" tint="0.15000000596046448"/>
      <name val="Open Sans"/>
      <family val="2"/>
    </font>
    <font>
      <sz val="8"/>
      <color theme="0" tint="-0.24997000396251678"/>
      <name val="Open Sans"/>
      <family val="2"/>
    </font>
    <font>
      <sz val="8"/>
      <color rgb="FFFF0000"/>
      <name val="Open Sans"/>
      <family val="2"/>
    </font>
    <font>
      <b/>
      <sz val="7"/>
      <color rgb="FF993300"/>
      <name val="Open Sans"/>
      <family val="2"/>
    </font>
    <font>
      <sz val="10"/>
      <color theme="1" tint="0.15000000596046448"/>
      <name val="Open Sans"/>
      <family val="2"/>
    </font>
    <font>
      <b/>
      <sz val="10"/>
      <color rgb="FF404040"/>
      <name val="Open Sans"/>
      <family val="2"/>
    </font>
    <font>
      <b/>
      <sz val="8"/>
      <color rgb="FF00A082"/>
      <name val="Open Sans"/>
      <family val="2"/>
    </font>
    <font>
      <b/>
      <sz val="7"/>
      <color rgb="FF000000"/>
      <name val="Open Sans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7"/>
      <color theme="1"/>
      <name val="Open Sans"/>
      <family val="2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b/>
      <sz val="2"/>
      <color theme="1"/>
      <name val="Open Sans"/>
      <family val="2"/>
    </font>
    <font>
      <b/>
      <sz val="10"/>
      <color theme="1" tint="0.15000000596046448"/>
      <name val="Open Sans"/>
      <family val="2"/>
    </font>
    <font>
      <sz val="8"/>
      <color rgb="FFFFFFFF"/>
      <name val="Open Sans"/>
      <family val="2"/>
    </font>
    <font>
      <sz val="8"/>
      <color theme="0"/>
      <name val="Open Sans"/>
      <family val="2"/>
    </font>
    <font>
      <sz val="8"/>
      <color rgb="FF00A082"/>
      <name val="Open Sans"/>
      <family val="2"/>
    </font>
    <font>
      <b/>
      <sz val="8"/>
      <color theme="1"/>
      <name val="Open Sans"/>
      <family val="2"/>
    </font>
    <font>
      <b/>
      <sz val="8"/>
      <color theme="1" tint="0.24998000264167786"/>
      <name val="Open Sans"/>
      <family val="2"/>
    </font>
    <font>
      <b/>
      <sz val="8"/>
      <color theme="0"/>
      <name val="Open Sans"/>
      <family val="2"/>
    </font>
    <font>
      <i/>
      <sz val="8"/>
      <color theme="1" tint="0.15000000596046448"/>
      <name val="Open Sans"/>
      <family val="2"/>
    </font>
  </fonts>
  <fills count="5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E6E6E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/>
      <top/>
      <bottom style="thin">
        <color theme="0" tint="-0.4999699890613556"/>
      </bottom>
    </border>
    <border>
      <left>
        <color indexed="63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/>
    </border>
    <border>
      <left>
        <color indexed="63"/>
      </left>
      <right>
        <color indexed="63"/>
      </right>
      <top>
        <color indexed="63"/>
      </top>
      <bottom style="medium">
        <color rgb="FFA6A6A6"/>
      </bottom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77" fillId="0" borderId="0">
      <alignment/>
      <protection/>
    </xf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497">
    <xf numFmtId="0" fontId="0" fillId="0" borderId="0" xfId="0" applyAlignment="1">
      <alignment/>
    </xf>
    <xf numFmtId="0" fontId="78" fillId="0" borderId="0" xfId="109" applyFont="1" applyFill="1" applyAlignment="1">
      <alignment horizontal="left"/>
      <protection/>
    </xf>
    <xf numFmtId="0" fontId="78" fillId="0" borderId="0" xfId="109" applyFont="1" applyFill="1" applyBorder="1" applyAlignment="1">
      <alignment horizontal="left"/>
      <protection/>
    </xf>
    <xf numFmtId="0" fontId="78" fillId="47" borderId="0" xfId="109" applyFont="1" applyFill="1" applyBorder="1" applyAlignment="1">
      <alignment horizontal="center" wrapText="1"/>
      <protection/>
    </xf>
    <xf numFmtId="176" fontId="45" fillId="0" borderId="0" xfId="109" applyNumberFormat="1" applyFont="1" applyFill="1" applyBorder="1" applyAlignment="1">
      <alignment vertical="center"/>
      <protection/>
    </xf>
    <xf numFmtId="0" fontId="44" fillId="0" borderId="0" xfId="109" applyFont="1" applyFill="1" applyBorder="1" applyAlignment="1">
      <alignment horizontal="left" vertical="center" indent="2"/>
      <protection/>
    </xf>
    <xf numFmtId="0" fontId="79" fillId="0" borderId="0" xfId="109" applyFont="1" applyFill="1" applyBorder="1" applyAlignment="1">
      <alignment horizontal="left" vertical="center" indent="2"/>
      <protection/>
    </xf>
    <xf numFmtId="0" fontId="79" fillId="0" borderId="0" xfId="109" applyFont="1" applyFill="1" applyBorder="1" applyAlignment="1">
      <alignment horizontal="left" vertical="center" wrapText="1" indent="2"/>
      <protection/>
    </xf>
    <xf numFmtId="0" fontId="44" fillId="0" borderId="0" xfId="109" applyFont="1" applyFill="1" applyBorder="1" applyAlignment="1">
      <alignment horizontal="left" vertical="center" wrapText="1" indent="2"/>
      <protection/>
    </xf>
    <xf numFmtId="176" fontId="44" fillId="0" borderId="0" xfId="109" applyNumberFormat="1" applyFont="1" applyFill="1" applyBorder="1" applyAlignment="1">
      <alignment vertical="center"/>
      <protection/>
    </xf>
    <xf numFmtId="176" fontId="78" fillId="0" borderId="0" xfId="109" applyNumberFormat="1" applyFont="1" applyFill="1" applyBorder="1" applyAlignment="1">
      <alignment vertical="center"/>
      <protection/>
    </xf>
    <xf numFmtId="0" fontId="78" fillId="0" borderId="0" xfId="109" applyFont="1" applyFill="1" applyBorder="1" applyAlignment="1">
      <alignment horizontal="center" wrapText="1"/>
      <protection/>
    </xf>
    <xf numFmtId="0" fontId="44" fillId="0" borderId="0" xfId="0" applyFont="1" applyFill="1" applyBorder="1" applyAlignment="1">
      <alignment vertical="center"/>
    </xf>
    <xf numFmtId="0" fontId="78" fillId="0" borderId="0" xfId="109" applyFont="1" applyFill="1" applyBorder="1" applyAlignment="1">
      <alignment/>
      <protection/>
    </xf>
    <xf numFmtId="0" fontId="46" fillId="0" borderId="0" xfId="109" applyFont="1" applyFill="1">
      <alignment/>
      <protection/>
    </xf>
    <xf numFmtId="0" fontId="46" fillId="0" borderId="0" xfId="109" applyFont="1" applyFill="1" applyBorder="1">
      <alignment/>
      <protection/>
    </xf>
    <xf numFmtId="0" fontId="80" fillId="0" borderId="0" xfId="109" applyFont="1" applyFill="1">
      <alignment/>
      <protection/>
    </xf>
    <xf numFmtId="0" fontId="78" fillId="0" borderId="0" xfId="109" applyFont="1" applyBorder="1" applyAlignment="1">
      <alignment/>
      <protection/>
    </xf>
    <xf numFmtId="0" fontId="45" fillId="0" borderId="17" xfId="109" applyFont="1" applyFill="1" applyBorder="1" applyAlignment="1">
      <alignment horizontal="center" wrapText="1"/>
      <protection/>
    </xf>
    <xf numFmtId="0" fontId="78" fillId="0" borderId="17" xfId="109" applyFont="1" applyFill="1" applyBorder="1" applyAlignment="1">
      <alignment horizontal="center" wrapText="1"/>
      <protection/>
    </xf>
    <xf numFmtId="4" fontId="79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 horizontal="center"/>
      <protection/>
    </xf>
    <xf numFmtId="0" fontId="44" fillId="0" borderId="0" xfId="109" applyFont="1" applyFill="1">
      <alignment/>
      <protection/>
    </xf>
    <xf numFmtId="0" fontId="78" fillId="0" borderId="0" xfId="109" applyFont="1" applyFill="1" applyBorder="1" applyAlignment="1">
      <alignment horizontal="center"/>
      <protection/>
    </xf>
    <xf numFmtId="0" fontId="45" fillId="0" borderId="0" xfId="109" applyFont="1" applyFill="1" applyBorder="1" applyAlignment="1">
      <alignment vertical="center" wrapText="1"/>
      <protection/>
    </xf>
    <xf numFmtId="176" fontId="45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/>
      <protection/>
    </xf>
    <xf numFmtId="0" fontId="45" fillId="0" borderId="0" xfId="109" applyFont="1" applyFill="1" applyAlignment="1">
      <alignment/>
      <protection/>
    </xf>
    <xf numFmtId="0" fontId="81" fillId="0" borderId="0" xfId="109" applyFont="1" applyFill="1" applyBorder="1" applyAlignment="1">
      <alignment vertical="center" wrapText="1"/>
      <protection/>
    </xf>
    <xf numFmtId="0" fontId="44" fillId="0" borderId="0" xfId="109" applyFont="1" applyFill="1" applyBorder="1" applyAlignment="1">
      <alignment vertical="center" wrapText="1"/>
      <protection/>
    </xf>
    <xf numFmtId="176" fontId="44" fillId="0" borderId="18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/>
      <protection/>
    </xf>
    <xf numFmtId="0" fontId="44" fillId="0" borderId="0" xfId="109" applyFont="1" applyFill="1" applyAlignment="1">
      <alignment/>
      <protection/>
    </xf>
    <xf numFmtId="0" fontId="45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 indent="2"/>
      <protection/>
    </xf>
    <xf numFmtId="0" fontId="82" fillId="0" borderId="0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 applyAlignment="1">
      <alignment horizontal="right"/>
      <protection/>
    </xf>
    <xf numFmtId="0" fontId="45" fillId="0" borderId="0" xfId="109" applyFont="1" applyFill="1" applyBorder="1" applyAlignment="1">
      <alignment vertical="center"/>
      <protection/>
    </xf>
    <xf numFmtId="9" fontId="45" fillId="0" borderId="18" xfId="116" applyFont="1" applyFill="1" applyBorder="1" applyAlignment="1">
      <alignment horizontal="right" vertical="center" indent="1"/>
    </xf>
    <xf numFmtId="9" fontId="44" fillId="0" borderId="18" xfId="116" applyFont="1" applyFill="1" applyBorder="1" applyAlignment="1">
      <alignment horizontal="right" vertical="center" indent="1"/>
    </xf>
    <xf numFmtId="176" fontId="44" fillId="0" borderId="19" xfId="109" applyNumberFormat="1" applyFont="1" applyFill="1" applyBorder="1" applyAlignment="1">
      <alignment horizontal="right" vertical="center" indent="1"/>
      <protection/>
    </xf>
    <xf numFmtId="9" fontId="44" fillId="0" borderId="19" xfId="116" applyFont="1" applyFill="1" applyBorder="1" applyAlignment="1">
      <alignment horizontal="right" vertical="center" indent="1"/>
    </xf>
    <xf numFmtId="4" fontId="45" fillId="0" borderId="18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/>
      <protection/>
    </xf>
    <xf numFmtId="176" fontId="79" fillId="0" borderId="18" xfId="109" applyNumberFormat="1" applyFont="1" applyFill="1" applyBorder="1" applyAlignment="1">
      <alignment horizontal="right" vertical="center" indent="1"/>
      <protection/>
    </xf>
    <xf numFmtId="0" fontId="83" fillId="0" borderId="0" xfId="109" applyFont="1" applyFill="1">
      <alignment/>
      <protection/>
    </xf>
    <xf numFmtId="0" fontId="44" fillId="0" borderId="0" xfId="109" applyFont="1" applyFill="1" applyBorder="1">
      <alignment/>
      <protection/>
    </xf>
    <xf numFmtId="0" fontId="78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4" fillId="0" borderId="0" xfId="109" applyFont="1" applyFill="1" applyBorder="1" applyAlignment="1">
      <alignment vertical="center"/>
      <protection/>
    </xf>
    <xf numFmtId="4" fontId="84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horizontal="center"/>
      <protection/>
    </xf>
    <xf numFmtId="0" fontId="78" fillId="0" borderId="20" xfId="109" applyFont="1" applyFill="1" applyBorder="1" applyAlignment="1">
      <alignment horizontal="right"/>
      <protection/>
    </xf>
    <xf numFmtId="0" fontId="45" fillId="0" borderId="20" xfId="109" applyFont="1" applyFill="1" applyBorder="1" applyAlignment="1">
      <alignment/>
      <protection/>
    </xf>
    <xf numFmtId="0" fontId="44" fillId="0" borderId="20" xfId="109" applyFont="1" applyFill="1" applyBorder="1" applyAlignment="1">
      <alignment/>
      <protection/>
    </xf>
    <xf numFmtId="176" fontId="84" fillId="0" borderId="20" xfId="109" applyNumberFormat="1" applyFont="1" applyFill="1" applyBorder="1" applyAlignment="1">
      <alignment horizontal="right" vertical="center" indent="1"/>
      <protection/>
    </xf>
    <xf numFmtId="9" fontId="44" fillId="0" borderId="20" xfId="116" applyFont="1" applyFill="1" applyBorder="1" applyAlignment="1">
      <alignment/>
    </xf>
    <xf numFmtId="2" fontId="45" fillId="0" borderId="20" xfId="109" applyNumberFormat="1" applyFont="1" applyFill="1" applyBorder="1" applyAlignment="1">
      <alignment vertical="center" wrapText="1"/>
      <protection/>
    </xf>
    <xf numFmtId="176" fontId="85" fillId="0" borderId="20" xfId="109" applyNumberFormat="1" applyFont="1" applyFill="1" applyBorder="1" applyAlignment="1">
      <alignment horizontal="right" vertical="center" indent="1"/>
      <protection/>
    </xf>
    <xf numFmtId="0" fontId="79" fillId="0" borderId="18" xfId="109" applyFont="1" applyFill="1" applyBorder="1" applyAlignment="1">
      <alignment horizontal="left" vertical="center" wrapText="1" indent="2"/>
      <protection/>
    </xf>
    <xf numFmtId="0" fontId="86" fillId="0" borderId="0" xfId="0" applyFont="1" applyFill="1" applyBorder="1" applyAlignment="1">
      <alignment horizontal="left" vertical="top"/>
    </xf>
    <xf numFmtId="0" fontId="87" fillId="0" borderId="0" xfId="0" applyFont="1" applyFill="1" applyBorder="1" applyAlignment="1">
      <alignment horizontal="left" vertical="top"/>
    </xf>
    <xf numFmtId="0" fontId="88" fillId="0" borderId="0" xfId="0" applyFont="1" applyFill="1" applyBorder="1" applyAlignment="1">
      <alignment horizontal="left" vertical="top"/>
    </xf>
    <xf numFmtId="2" fontId="86" fillId="0" borderId="0" xfId="0" applyNumberFormat="1" applyFont="1" applyFill="1" applyBorder="1" applyAlignment="1">
      <alignment horizontal="right" vertical="top"/>
    </xf>
    <xf numFmtId="0" fontId="89" fillId="0" borderId="0" xfId="0" applyFont="1" applyFill="1" applyBorder="1" applyAlignment="1">
      <alignment horizontal="left" vertical="top"/>
    </xf>
    <xf numFmtId="0" fontId="80" fillId="0" borderId="0" xfId="109" applyFont="1" applyFill="1" applyBorder="1">
      <alignment/>
      <protection/>
    </xf>
    <xf numFmtId="0" fontId="87" fillId="48" borderId="21" xfId="0" applyFont="1" applyFill="1" applyBorder="1" applyAlignment="1">
      <alignment vertical="center"/>
    </xf>
    <xf numFmtId="0" fontId="87" fillId="48" borderId="21" xfId="0" applyFont="1" applyFill="1" applyBorder="1" applyAlignment="1">
      <alignment horizontal="center" vertical="center"/>
    </xf>
    <xf numFmtId="0" fontId="44" fillId="0" borderId="18" xfId="109" applyFont="1" applyFill="1" applyBorder="1" applyAlignment="1">
      <alignment horizontal="left" vertical="center" indent="2"/>
      <protection/>
    </xf>
    <xf numFmtId="0" fontId="79" fillId="0" borderId="18" xfId="109" applyFont="1" applyFill="1" applyBorder="1" applyAlignment="1">
      <alignment horizontal="left" vertical="center" indent="2"/>
      <protection/>
    </xf>
    <xf numFmtId="176" fontId="44" fillId="0" borderId="18" xfId="109" applyNumberFormat="1" applyFont="1" applyFill="1" applyBorder="1" applyAlignment="1">
      <alignment vertical="center"/>
      <protection/>
    </xf>
    <xf numFmtId="176" fontId="78" fillId="0" borderId="18" xfId="109" applyNumberFormat="1" applyFont="1" applyFill="1" applyBorder="1" applyAlignment="1">
      <alignment vertical="center"/>
      <protection/>
    </xf>
    <xf numFmtId="0" fontId="44" fillId="0" borderId="17" xfId="109" applyFont="1" applyFill="1" applyBorder="1" applyAlignment="1">
      <alignment horizontal="left" vertical="center" indent="2"/>
      <protection/>
    </xf>
    <xf numFmtId="176" fontId="78" fillId="0" borderId="17" xfId="109" applyNumberFormat="1" applyFont="1" applyFill="1" applyBorder="1" applyAlignment="1">
      <alignment vertical="center"/>
      <protection/>
    </xf>
    <xf numFmtId="176" fontId="44" fillId="0" borderId="18" xfId="109" applyNumberFormat="1" applyFont="1" applyFill="1" applyBorder="1" applyAlignment="1">
      <alignment horizontal="left" vertical="center" indent="2"/>
      <protection/>
    </xf>
    <xf numFmtId="176" fontId="44" fillId="0" borderId="0" xfId="109" applyNumberFormat="1" applyFont="1" applyFill="1" applyBorder="1">
      <alignment/>
      <protection/>
    </xf>
    <xf numFmtId="176" fontId="84" fillId="0" borderId="0" xfId="109" applyNumberFormat="1" applyFont="1" applyFill="1" applyBorder="1" applyAlignment="1">
      <alignment horizontal="right" vertical="center" indent="1"/>
      <protection/>
    </xf>
    <xf numFmtId="0" fontId="78" fillId="0" borderId="17" xfId="109" applyFont="1" applyFill="1" applyBorder="1" applyAlignment="1">
      <alignment horizontal="left" vertical="center"/>
      <protection/>
    </xf>
    <xf numFmtId="176" fontId="84" fillId="49" borderId="18" xfId="109" applyNumberFormat="1" applyFont="1" applyFill="1" applyBorder="1" applyAlignment="1">
      <alignment horizontal="right" vertical="center" indent="1"/>
      <protection/>
    </xf>
    <xf numFmtId="176" fontId="85" fillId="49" borderId="18" xfId="109" applyNumberFormat="1" applyFont="1" applyFill="1" applyBorder="1" applyAlignment="1">
      <alignment horizontal="right" vertical="center" indent="1"/>
      <protection/>
    </xf>
    <xf numFmtId="0" fontId="44" fillId="0" borderId="17" xfId="109" applyFont="1" applyFill="1" applyBorder="1">
      <alignment/>
      <protection/>
    </xf>
    <xf numFmtId="0" fontId="45" fillId="0" borderId="17" xfId="109" applyFont="1" applyFill="1" applyBorder="1" applyAlignment="1">
      <alignment vertical="center" wrapText="1"/>
      <protection/>
    </xf>
    <xf numFmtId="0" fontId="78" fillId="0" borderId="17" xfId="0" applyFont="1" applyFill="1" applyBorder="1" applyAlignment="1">
      <alignment horizontal="center" vertical="center" wrapText="1"/>
    </xf>
    <xf numFmtId="176" fontId="78" fillId="0" borderId="19" xfId="109" applyNumberFormat="1" applyFont="1" applyFill="1" applyBorder="1" applyAlignment="1">
      <alignment vertical="center"/>
      <protection/>
    </xf>
    <xf numFmtId="176" fontId="45" fillId="0" borderId="19" xfId="109" applyNumberFormat="1" applyFont="1" applyFill="1" applyBorder="1" applyAlignment="1">
      <alignment vertical="center"/>
      <protection/>
    </xf>
    <xf numFmtId="176" fontId="45" fillId="0" borderId="22" xfId="109" applyNumberFormat="1" applyFont="1" applyFill="1" applyBorder="1" applyAlignment="1">
      <alignment horizontal="right" vertical="center" indent="1"/>
      <protection/>
    </xf>
    <xf numFmtId="0" fontId="45" fillId="0" borderId="18" xfId="109" applyFont="1" applyFill="1" applyBorder="1" applyAlignment="1">
      <alignment vertical="center"/>
      <protection/>
    </xf>
    <xf numFmtId="176" fontId="44" fillId="0" borderId="17" xfId="109" applyNumberFormat="1" applyFont="1" applyFill="1" applyBorder="1" applyAlignment="1">
      <alignment horizontal="right" vertical="center" indent="1"/>
      <protection/>
    </xf>
    <xf numFmtId="9" fontId="44" fillId="0" borderId="17" xfId="116" applyFont="1" applyFill="1" applyBorder="1" applyAlignment="1">
      <alignment horizontal="right" vertical="center" indent="1"/>
    </xf>
    <xf numFmtId="176" fontId="44" fillId="0" borderId="22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/>
      <protection/>
    </xf>
    <xf numFmtId="4" fontId="84" fillId="0" borderId="18" xfId="109" applyNumberFormat="1" applyFont="1" applyFill="1" applyBorder="1" applyAlignment="1">
      <alignment horizontal="right"/>
      <protection/>
    </xf>
    <xf numFmtId="164" fontId="44" fillId="0" borderId="22" xfId="109" applyNumberFormat="1" applyFont="1" applyFill="1" applyBorder="1" applyAlignment="1">
      <alignment horizontal="right" vertical="center" indent="1"/>
      <protection/>
    </xf>
    <xf numFmtId="164" fontId="44" fillId="0" borderId="18" xfId="109" applyNumberFormat="1" applyFont="1" applyFill="1" applyBorder="1" applyAlignment="1">
      <alignment horizontal="right" vertical="center" indent="1"/>
      <protection/>
    </xf>
    <xf numFmtId="164" fontId="45" fillId="0" borderId="18" xfId="109" applyNumberFormat="1" applyFont="1" applyFill="1" applyBorder="1" applyAlignment="1">
      <alignment horizontal="right" vertical="center" indent="1"/>
      <protection/>
    </xf>
    <xf numFmtId="164" fontId="45" fillId="0" borderId="22" xfId="109" applyNumberFormat="1" applyFont="1" applyFill="1" applyBorder="1" applyAlignment="1">
      <alignment horizontal="right" vertical="center" indent="1"/>
      <protection/>
    </xf>
    <xf numFmtId="9" fontId="45" fillId="0" borderId="22" xfId="116" applyFont="1" applyFill="1" applyBorder="1" applyAlignment="1">
      <alignment horizontal="right" vertical="center" indent="1"/>
    </xf>
    <xf numFmtId="9" fontId="44" fillId="0" borderId="22" xfId="116" applyFont="1" applyFill="1" applyBorder="1" applyAlignment="1">
      <alignment horizontal="right" vertical="center" indent="1"/>
    </xf>
    <xf numFmtId="2" fontId="45" fillId="0" borderId="22" xfId="109" applyNumberFormat="1" applyFont="1" applyFill="1" applyBorder="1" applyAlignment="1">
      <alignment horizontal="right" vertical="center" indent="1"/>
      <protection/>
    </xf>
    <xf numFmtId="2" fontId="45" fillId="0" borderId="18" xfId="109" applyNumberFormat="1" applyFont="1" applyFill="1" applyBorder="1" applyAlignment="1">
      <alignment horizontal="right" vertical="center" indent="1"/>
      <protection/>
    </xf>
    <xf numFmtId="2" fontId="44" fillId="0" borderId="22" xfId="109" applyNumberFormat="1" applyFont="1" applyFill="1" applyBorder="1" applyAlignment="1">
      <alignment horizontal="right" vertical="center" indent="1"/>
      <protection/>
    </xf>
    <xf numFmtId="2" fontId="44" fillId="0" borderId="18" xfId="109" applyNumberFormat="1" applyFont="1" applyFill="1" applyBorder="1" applyAlignment="1">
      <alignment horizontal="right" vertical="center" indent="1"/>
      <protection/>
    </xf>
    <xf numFmtId="0" fontId="85" fillId="0" borderId="17" xfId="109" applyFont="1" applyFill="1" applyBorder="1" applyAlignment="1">
      <alignment horizontal="center" wrapText="1"/>
      <protection/>
    </xf>
    <xf numFmtId="2" fontId="44" fillId="0" borderId="0" xfId="109" applyNumberFormat="1" applyFont="1" applyFill="1" applyBorder="1" applyAlignment="1">
      <alignment vertical="center" wrapText="1"/>
      <protection/>
    </xf>
    <xf numFmtId="0" fontId="78" fillId="0" borderId="23" xfId="109" applyFont="1" applyFill="1" applyBorder="1" applyAlignment="1">
      <alignment horizontal="center" wrapText="1"/>
      <protection/>
    </xf>
    <xf numFmtId="0" fontId="45" fillId="0" borderId="24" xfId="109" applyFont="1" applyFill="1" applyBorder="1" applyAlignment="1">
      <alignment horizontal="center"/>
      <protection/>
    </xf>
    <xf numFmtId="0" fontId="45" fillId="0" borderId="19" xfId="109" applyFont="1" applyFill="1" applyBorder="1" applyAlignment="1">
      <alignment horizontal="center"/>
      <protection/>
    </xf>
    <xf numFmtId="0" fontId="85" fillId="0" borderId="19" xfId="109" applyFont="1" applyFill="1" applyBorder="1" applyAlignment="1">
      <alignment horizontal="center"/>
      <protection/>
    </xf>
    <xf numFmtId="0" fontId="90" fillId="0" borderId="0" xfId="109" applyFont="1" applyFill="1" applyBorder="1">
      <alignment/>
      <protection/>
    </xf>
    <xf numFmtId="0" fontId="45" fillId="0" borderId="0" xfId="109" applyFont="1" applyFill="1" applyBorder="1" applyAlignment="1">
      <alignment horizontal="right"/>
      <protection/>
    </xf>
    <xf numFmtId="3" fontId="84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vertical="center" wrapText="1"/>
      <protection/>
    </xf>
    <xf numFmtId="9" fontId="45" fillId="0" borderId="20" xfId="116" applyFont="1" applyFill="1" applyBorder="1" applyAlignment="1">
      <alignment vertical="center" wrapText="1"/>
    </xf>
    <xf numFmtId="0" fontId="44" fillId="0" borderId="20" xfId="109" applyFont="1" applyFill="1" applyBorder="1" applyAlignment="1">
      <alignment vertical="center" wrapText="1"/>
      <protection/>
    </xf>
    <xf numFmtId="0" fontId="91" fillId="0" borderId="0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left" vertical="top"/>
    </xf>
    <xf numFmtId="0" fontId="88" fillId="0" borderId="21" xfId="0" applyFont="1" applyFill="1" applyBorder="1" applyAlignment="1">
      <alignment horizontal="left" vertical="top"/>
    </xf>
    <xf numFmtId="2" fontId="87" fillId="48" borderId="21" xfId="0" applyNumberFormat="1" applyFont="1" applyFill="1" applyBorder="1" applyAlignment="1">
      <alignment horizontal="right" vertical="center"/>
    </xf>
    <xf numFmtId="0" fontId="86" fillId="0" borderId="21" xfId="0" applyFont="1" applyFill="1" applyBorder="1" applyAlignment="1">
      <alignment vertical="top"/>
    </xf>
    <xf numFmtId="0" fontId="86" fillId="0" borderId="21" xfId="0" applyFont="1" applyFill="1" applyBorder="1" applyAlignment="1">
      <alignment horizontal="left" vertical="top" wrapText="1"/>
    </xf>
    <xf numFmtId="0" fontId="86" fillId="0" borderId="0" xfId="0" applyFont="1" applyFill="1" applyBorder="1" applyAlignment="1">
      <alignment vertical="top"/>
    </xf>
    <xf numFmtId="0" fontId="92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horizontal="left" vertical="top" wrapText="1"/>
    </xf>
    <xf numFmtId="0" fontId="87" fillId="0" borderId="0" xfId="0" applyFont="1" applyFill="1" applyBorder="1" applyAlignment="1">
      <alignment vertical="top"/>
    </xf>
    <xf numFmtId="0" fontId="93" fillId="0" borderId="21" xfId="0" applyFont="1" applyFill="1" applyBorder="1" applyAlignment="1">
      <alignment horizontal="left" vertical="top"/>
    </xf>
    <xf numFmtId="0" fontId="93" fillId="0" borderId="21" xfId="0" applyFont="1" applyFill="1" applyBorder="1" applyAlignment="1">
      <alignment horizontal="left" vertical="top" wrapText="1"/>
    </xf>
    <xf numFmtId="0" fontId="93" fillId="0" borderId="0" xfId="0" applyFont="1" applyFill="1" applyBorder="1" applyAlignment="1">
      <alignment horizontal="left" vertical="top"/>
    </xf>
    <xf numFmtId="0" fontId="93" fillId="0" borderId="21" xfId="0" applyFont="1" applyFill="1" applyBorder="1" applyAlignment="1">
      <alignment vertical="top"/>
    </xf>
    <xf numFmtId="176" fontId="48" fillId="50" borderId="0" xfId="109" applyNumberFormat="1" applyFont="1" applyFill="1" applyBorder="1" applyAlignment="1">
      <alignment horizontal="right" vertical="center" indent="1"/>
      <protection/>
    </xf>
    <xf numFmtId="176" fontId="48" fillId="50" borderId="25" xfId="109" applyNumberFormat="1" applyFont="1" applyFill="1" applyBorder="1" applyAlignment="1">
      <alignment horizontal="right" vertical="center" indent="1"/>
      <protection/>
    </xf>
    <xf numFmtId="0" fontId="93" fillId="0" borderId="25" xfId="0" applyFont="1" applyFill="1" applyBorder="1" applyAlignment="1">
      <alignment horizontal="left" vertical="top"/>
    </xf>
    <xf numFmtId="0" fontId="86" fillId="0" borderId="0" xfId="0" applyFont="1" applyFill="1" applyBorder="1" applyAlignment="1">
      <alignment horizontal="left" vertical="top" wrapText="1"/>
    </xf>
    <xf numFmtId="0" fontId="78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78" fillId="0" borderId="17" xfId="109" applyFont="1" applyFill="1" applyBorder="1" applyAlignment="1">
      <alignment vertical="center" wrapText="1"/>
      <protection/>
    </xf>
    <xf numFmtId="176" fontId="45" fillId="0" borderId="0" xfId="109" applyNumberFormat="1" applyFont="1" applyFill="1" applyBorder="1" applyAlignment="1">
      <alignment horizontal="right" vertical="center" indent="1"/>
      <protection/>
    </xf>
    <xf numFmtId="176" fontId="44" fillId="0" borderId="0" xfId="109" applyNumberFormat="1" applyFont="1" applyFill="1" applyBorder="1" applyAlignment="1">
      <alignment horizontal="right" vertical="center" indent="1"/>
      <protection/>
    </xf>
    <xf numFmtId="176" fontId="45" fillId="0" borderId="19" xfId="109" applyNumberFormat="1" applyFont="1" applyFill="1" applyBorder="1" applyAlignment="1">
      <alignment horizontal="right" vertical="center" indent="1"/>
      <protection/>
    </xf>
    <xf numFmtId="176" fontId="45" fillId="0" borderId="24" xfId="109" applyNumberFormat="1" applyFont="1" applyFill="1" applyBorder="1" applyAlignment="1">
      <alignment horizontal="right" vertical="center" indent="1"/>
      <protection/>
    </xf>
    <xf numFmtId="176" fontId="44" fillId="0" borderId="23" xfId="109" applyNumberFormat="1" applyFont="1" applyFill="1" applyBorder="1" applyAlignment="1">
      <alignment horizontal="right" vertical="center" indent="1"/>
      <protection/>
    </xf>
    <xf numFmtId="176" fontId="45" fillId="0" borderId="17" xfId="109" applyNumberFormat="1" applyFont="1" applyFill="1" applyBorder="1" applyAlignment="1">
      <alignment horizontal="right" vertical="center" indent="1"/>
      <protection/>
    </xf>
    <xf numFmtId="176" fontId="45" fillId="0" borderId="23" xfId="109" applyNumberFormat="1" applyFont="1" applyFill="1" applyBorder="1" applyAlignment="1">
      <alignment horizontal="right" vertical="center" indent="1"/>
      <protection/>
    </xf>
    <xf numFmtId="0" fontId="0" fillId="0" borderId="0" xfId="109" applyFill="1" applyBorder="1">
      <alignment/>
      <protection/>
    </xf>
    <xf numFmtId="3" fontId="45" fillId="0" borderId="0" xfId="109" applyNumberFormat="1" applyFont="1" applyFill="1" applyBorder="1" applyAlignment="1">
      <alignment vertical="center"/>
      <protection/>
    </xf>
    <xf numFmtId="3" fontId="45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vertical="center"/>
      <protection/>
    </xf>
    <xf numFmtId="0" fontId="83" fillId="0" borderId="0" xfId="109" applyFont="1" applyFill="1" applyBorder="1">
      <alignment/>
      <protection/>
    </xf>
    <xf numFmtId="0" fontId="79" fillId="0" borderId="18" xfId="109" applyFont="1" applyFill="1" applyBorder="1" applyAlignment="1">
      <alignment vertical="center" wrapText="1"/>
      <protection/>
    </xf>
    <xf numFmtId="0" fontId="79" fillId="0" borderId="0" xfId="109" applyFont="1" applyFill="1" applyBorder="1" applyAlignment="1">
      <alignment vertical="center" wrapText="1"/>
      <protection/>
    </xf>
    <xf numFmtId="3" fontId="79" fillId="0" borderId="22" xfId="109" applyNumberFormat="1" applyFont="1" applyFill="1" applyBorder="1" applyAlignment="1">
      <alignment horizontal="right" vertical="center" indent="1"/>
      <protection/>
    </xf>
    <xf numFmtId="3" fontId="79" fillId="0" borderId="18" xfId="109" applyNumberFormat="1" applyFont="1" applyFill="1" applyBorder="1" applyAlignment="1">
      <alignment horizontal="right" vertical="center" indent="1"/>
      <protection/>
    </xf>
    <xf numFmtId="4" fontId="79" fillId="0" borderId="22" xfId="109" applyNumberFormat="1" applyFont="1" applyFill="1" applyBorder="1" applyAlignment="1">
      <alignment horizontal="right" vertical="center" indent="1"/>
      <protection/>
    </xf>
    <xf numFmtId="0" fontId="79" fillId="0" borderId="18" xfId="109" applyFont="1" applyFill="1" applyBorder="1" applyAlignment="1">
      <alignment horizontal="left" vertical="center"/>
      <protection/>
    </xf>
    <xf numFmtId="0" fontId="79" fillId="0" borderId="0" xfId="109" applyFont="1" applyFill="1" applyBorder="1" applyAlignment="1">
      <alignment horizontal="left" vertical="center"/>
      <protection/>
    </xf>
    <xf numFmtId="176" fontId="79" fillId="0" borderId="22" xfId="109" applyNumberFormat="1" applyFont="1" applyFill="1" applyBorder="1" applyAlignment="1">
      <alignment horizontal="right" vertical="center" indent="1"/>
      <protection/>
    </xf>
    <xf numFmtId="0" fontId="81" fillId="0" borderId="0" xfId="109" applyFont="1" applyFill="1" applyAlignment="1">
      <alignment horizontal="left" vertical="center"/>
      <protection/>
    </xf>
    <xf numFmtId="176" fontId="94" fillId="0" borderId="22" xfId="109" applyNumberFormat="1" applyFont="1" applyFill="1" applyBorder="1" applyAlignment="1">
      <alignment horizontal="right" vertical="center" indent="1"/>
      <protection/>
    </xf>
    <xf numFmtId="176" fontId="94" fillId="0" borderId="18" xfId="109" applyNumberFormat="1" applyFont="1" applyFill="1" applyBorder="1" applyAlignment="1">
      <alignment horizontal="right" vertical="center" indent="1"/>
      <protection/>
    </xf>
    <xf numFmtId="0" fontId="78" fillId="0" borderId="0" xfId="109" applyFont="1" applyFill="1" applyAlignment="1">
      <alignment vertical="center" wrapText="1"/>
      <protection/>
    </xf>
    <xf numFmtId="176" fontId="48" fillId="0" borderId="21" xfId="109" applyNumberFormat="1" applyFont="1" applyFill="1" applyBorder="1" applyAlignment="1">
      <alignment horizontal="right" vertical="center" indent="1"/>
      <protection/>
    </xf>
    <xf numFmtId="176" fontId="48" fillId="0" borderId="0" xfId="109" applyNumberFormat="1" applyFont="1" applyFill="1" applyBorder="1" applyAlignment="1">
      <alignment horizontal="right" vertical="center" indent="1"/>
      <protection/>
    </xf>
    <xf numFmtId="176" fontId="48" fillId="0" borderId="25" xfId="109" applyNumberFormat="1" applyFont="1" applyFill="1" applyBorder="1" applyAlignment="1">
      <alignment horizontal="right" vertical="center" indent="1"/>
      <protection/>
    </xf>
    <xf numFmtId="9" fontId="48" fillId="0" borderId="21" xfId="115" applyFont="1" applyFill="1" applyBorder="1" applyAlignment="1">
      <alignment horizontal="right" vertical="center" indent="1"/>
    </xf>
    <xf numFmtId="0" fontId="95" fillId="0" borderId="0" xfId="109" applyFont="1" applyFill="1">
      <alignment/>
      <protection/>
    </xf>
    <xf numFmtId="0" fontId="0" fillId="0" borderId="0" xfId="109" applyFill="1">
      <alignment/>
      <protection/>
    </xf>
    <xf numFmtId="0" fontId="49" fillId="0" borderId="0" xfId="109" applyFont="1" applyFill="1">
      <alignment/>
      <protection/>
    </xf>
    <xf numFmtId="3" fontId="44" fillId="0" borderId="17" xfId="109" applyNumberFormat="1" applyFont="1" applyFill="1" applyBorder="1" applyAlignment="1">
      <alignment horizontal="right" vertical="center"/>
      <protection/>
    </xf>
    <xf numFmtId="3" fontId="45" fillId="0" borderId="17" xfId="109" applyNumberFormat="1" applyFont="1" applyFill="1" applyBorder="1" applyAlignment="1">
      <alignment horizontal="right" vertical="center"/>
      <protection/>
    </xf>
    <xf numFmtId="3" fontId="84" fillId="0" borderId="0" xfId="109" applyNumberFormat="1" applyFont="1" applyFill="1" applyBorder="1" applyAlignment="1">
      <alignment horizontal="right" vertical="center"/>
      <protection/>
    </xf>
    <xf numFmtId="0" fontId="0" fillId="0" borderId="17" xfId="109" applyFill="1" applyBorder="1">
      <alignment/>
      <protection/>
    </xf>
    <xf numFmtId="176" fontId="85" fillId="0" borderId="0" xfId="109" applyNumberFormat="1" applyFont="1" applyFill="1" applyBorder="1" applyAlignment="1">
      <alignment horizontal="right" vertical="center" indent="1"/>
      <protection/>
    </xf>
    <xf numFmtId="0" fontId="0" fillId="0" borderId="0" xfId="0" applyFill="1" applyAlignment="1">
      <alignment/>
    </xf>
    <xf numFmtId="0" fontId="84" fillId="0" borderId="0" xfId="109" applyFont="1" applyFill="1">
      <alignment/>
      <protection/>
    </xf>
    <xf numFmtId="176" fontId="84" fillId="0" borderId="19" xfId="109" applyNumberFormat="1" applyFont="1" applyFill="1" applyBorder="1" applyAlignment="1">
      <alignment horizontal="right" vertical="center" indent="1"/>
      <protection/>
    </xf>
    <xf numFmtId="176" fontId="84" fillId="0" borderId="17" xfId="109" applyNumberFormat="1" applyFont="1" applyFill="1" applyBorder="1" applyAlignment="1">
      <alignment horizontal="right" vertical="center" indent="1"/>
      <protection/>
    </xf>
    <xf numFmtId="0" fontId="96" fillId="0" borderId="0" xfId="109" applyFont="1" applyFill="1">
      <alignment/>
      <protection/>
    </xf>
    <xf numFmtId="0" fontId="84" fillId="0" borderId="17" xfId="109" applyFont="1" applyFill="1" applyBorder="1">
      <alignment/>
      <protection/>
    </xf>
    <xf numFmtId="0" fontId="44" fillId="0" borderId="0" xfId="109" applyFont="1" applyFill="1" applyBorder="1" applyAlignment="1">
      <alignment horizontal="left" vertical="center" wrapText="1"/>
      <protection/>
    </xf>
    <xf numFmtId="0" fontId="48" fillId="0" borderId="21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95" fillId="0" borderId="0" xfId="109" applyFont="1" applyFill="1" applyBorder="1">
      <alignment/>
      <protection/>
    </xf>
    <xf numFmtId="176" fontId="85" fillId="0" borderId="19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>
      <alignment/>
      <protection/>
    </xf>
    <xf numFmtId="0" fontId="44" fillId="0" borderId="18" xfId="109" applyFont="1" applyFill="1" applyBorder="1" applyAlignment="1">
      <alignment vertical="center" wrapText="1"/>
      <protection/>
    </xf>
    <xf numFmtId="0" fontId="78" fillId="0" borderId="0" xfId="109" applyFont="1" applyFill="1" applyBorder="1" applyAlignment="1">
      <alignment vertical="center" wrapText="1"/>
      <protection/>
    </xf>
    <xf numFmtId="0" fontId="78" fillId="0" borderId="18" xfId="109" applyFont="1" applyFill="1" applyBorder="1" applyAlignment="1">
      <alignment vertical="center" wrapText="1"/>
      <protection/>
    </xf>
    <xf numFmtId="0" fontId="78" fillId="0" borderId="17" xfId="109" applyFont="1" applyFill="1" applyBorder="1" applyAlignment="1">
      <alignment vertical="center" wrapText="1"/>
      <protection/>
    </xf>
    <xf numFmtId="0" fontId="97" fillId="0" borderId="0" xfId="109" applyFont="1" applyFill="1" applyBorder="1" applyAlignment="1">
      <alignment vertical="center" wrapText="1"/>
      <protection/>
    </xf>
    <xf numFmtId="0" fontId="98" fillId="0" borderId="0" xfId="109" applyFont="1" applyFill="1" applyBorder="1">
      <alignment/>
      <protection/>
    </xf>
    <xf numFmtId="174" fontId="44" fillId="0" borderId="18" xfId="109" applyNumberFormat="1" applyFont="1" applyFill="1" applyBorder="1" applyAlignment="1">
      <alignment horizontal="right" vertical="center" indent="1"/>
      <protection/>
    </xf>
    <xf numFmtId="174" fontId="97" fillId="0" borderId="0" xfId="109" applyNumberFormat="1" applyFont="1" applyFill="1" applyBorder="1" applyAlignment="1">
      <alignment horizontal="center" wrapText="1"/>
      <protection/>
    </xf>
    <xf numFmtId="174" fontId="97" fillId="0" borderId="18" xfId="109" applyNumberFormat="1" applyFont="1" applyFill="1" applyBorder="1" applyAlignment="1">
      <alignment horizontal="center" wrapText="1"/>
      <protection/>
    </xf>
    <xf numFmtId="0" fontId="83" fillId="0" borderId="18" xfId="109" applyFont="1" applyFill="1" applyBorder="1" applyAlignment="1">
      <alignment horizontal="left" vertical="center" wrapText="1" indent="2"/>
      <protection/>
    </xf>
    <xf numFmtId="0" fontId="83" fillId="0" borderId="0" xfId="109" applyFont="1" applyFill="1" applyBorder="1" applyAlignment="1">
      <alignment horizontal="left" vertical="center" wrapText="1" indent="2"/>
      <protection/>
    </xf>
    <xf numFmtId="174" fontId="83" fillId="0" borderId="0" xfId="109" applyNumberFormat="1" applyFont="1" applyFill="1" applyBorder="1" applyAlignment="1">
      <alignment horizontal="right"/>
      <protection/>
    </xf>
    <xf numFmtId="174" fontId="83" fillId="0" borderId="0" xfId="109" applyNumberFormat="1" applyFont="1" applyFill="1" applyBorder="1" applyAlignment="1">
      <alignment horizontal="right" vertical="center" indent="1"/>
      <protection/>
    </xf>
    <xf numFmtId="174" fontId="83" fillId="0" borderId="18" xfId="109" applyNumberFormat="1" applyFont="1" applyFill="1" applyBorder="1" applyAlignment="1">
      <alignment horizontal="right" vertical="center" indent="1"/>
      <protection/>
    </xf>
    <xf numFmtId="0" fontId="83" fillId="0" borderId="18" xfId="109" applyFont="1" applyFill="1" applyBorder="1" applyAlignment="1">
      <alignment vertical="center" wrapText="1"/>
      <protection/>
    </xf>
    <xf numFmtId="0" fontId="83" fillId="0" borderId="0" xfId="109" applyFont="1" applyFill="1" applyBorder="1" applyAlignment="1">
      <alignment vertical="center" wrapText="1"/>
      <protection/>
    </xf>
    <xf numFmtId="174" fontId="97" fillId="0" borderId="0" xfId="109" applyNumberFormat="1" applyFont="1" applyFill="1" applyBorder="1" applyAlignment="1">
      <alignment horizontal="right"/>
      <protection/>
    </xf>
    <xf numFmtId="174" fontId="97" fillId="0" borderId="0" xfId="109" applyNumberFormat="1" applyFont="1" applyFill="1" applyBorder="1" applyAlignment="1">
      <alignment horizontal="right" vertical="center" indent="1"/>
      <protection/>
    </xf>
    <xf numFmtId="174" fontId="97" fillId="0" borderId="18" xfId="109" applyNumberFormat="1" applyFont="1" applyFill="1" applyBorder="1" applyAlignment="1">
      <alignment horizontal="right" vertical="center" indent="1"/>
      <protection/>
    </xf>
    <xf numFmtId="174" fontId="45" fillId="0" borderId="18" xfId="109" applyNumberFormat="1" applyFont="1" applyFill="1" applyBorder="1" applyAlignment="1">
      <alignment horizontal="right" vertical="center" indent="1"/>
      <protection/>
    </xf>
    <xf numFmtId="0" fontId="99" fillId="0" borderId="0" xfId="109" applyFont="1" applyFill="1" applyBorder="1" applyAlignment="1">
      <alignment/>
      <protection/>
    </xf>
    <xf numFmtId="174" fontId="45" fillId="0" borderId="0" xfId="109" applyNumberFormat="1" applyFont="1" applyFill="1" applyBorder="1" applyAlignment="1">
      <alignment horizontal="right" vertical="center" indent="1"/>
      <protection/>
    </xf>
    <xf numFmtId="0" fontId="100" fillId="0" borderId="0" xfId="109" applyFont="1" applyFill="1" applyBorder="1" applyAlignment="1">
      <alignment/>
      <protection/>
    </xf>
    <xf numFmtId="174" fontId="45" fillId="0" borderId="17" xfId="109" applyNumberFormat="1" applyFont="1" applyFill="1" applyBorder="1" applyAlignment="1">
      <alignment horizontal="right" vertical="center" indent="1"/>
      <protection/>
    </xf>
    <xf numFmtId="174" fontId="97" fillId="0" borderId="0" xfId="109" applyNumberFormat="1" applyFont="1" applyFill="1" applyBorder="1" applyAlignment="1">
      <alignment horizontal="right" vertical="top"/>
      <protection/>
    </xf>
    <xf numFmtId="174" fontId="97" fillId="0" borderId="17" xfId="109" applyNumberFormat="1" applyFont="1" applyFill="1" applyBorder="1" applyAlignment="1">
      <alignment horizontal="right" vertical="center" indent="1"/>
      <protection/>
    </xf>
    <xf numFmtId="174" fontId="83" fillId="0" borderId="0" xfId="109" applyNumberFormat="1" applyFont="1" applyFill="1" applyBorder="1" applyAlignment="1">
      <alignment/>
      <protection/>
    </xf>
    <xf numFmtId="176" fontId="83" fillId="0" borderId="0" xfId="109" applyNumberFormat="1" applyFont="1" applyFill="1" applyBorder="1">
      <alignment/>
      <protection/>
    </xf>
    <xf numFmtId="0" fontId="78" fillId="0" borderId="17" xfId="109" applyFont="1" applyFill="1" applyBorder="1" applyAlignment="1">
      <alignment horizontal="center" vertical="center" wrapText="1"/>
      <protection/>
    </xf>
    <xf numFmtId="0" fontId="45" fillId="0" borderId="0" xfId="109" applyFont="1" applyFill="1" applyBorder="1" applyAlignment="1">
      <alignment horizontal="right" vertical="center"/>
      <protection/>
    </xf>
    <xf numFmtId="0" fontId="78" fillId="0" borderId="0" xfId="109" applyFont="1" applyFill="1" applyBorder="1" applyAlignment="1">
      <alignment horizontal="center" vertical="center" wrapText="1"/>
      <protection/>
    </xf>
    <xf numFmtId="0" fontId="83" fillId="0" borderId="0" xfId="109" applyFont="1" applyBorder="1">
      <alignment/>
      <protection/>
    </xf>
    <xf numFmtId="0" fontId="79" fillId="0" borderId="17" xfId="109" applyFont="1" applyBorder="1" applyAlignment="1">
      <alignment vertical="center" wrapText="1"/>
      <protection/>
    </xf>
    <xf numFmtId="0" fontId="79" fillId="0" borderId="0" xfId="109" applyFont="1" applyBorder="1" applyAlignment="1">
      <alignment vertical="center" wrapText="1"/>
      <protection/>
    </xf>
    <xf numFmtId="3" fontId="79" fillId="0" borderId="23" xfId="109" applyNumberFormat="1" applyFont="1" applyBorder="1" applyAlignment="1">
      <alignment horizontal="right" vertical="center" indent="1"/>
      <protection/>
    </xf>
    <xf numFmtId="3" fontId="79" fillId="0" borderId="17" xfId="109" applyNumberFormat="1" applyFont="1" applyBorder="1" applyAlignment="1">
      <alignment horizontal="right" vertical="center" indent="1"/>
      <protection/>
    </xf>
    <xf numFmtId="3" fontId="84" fillId="0" borderId="0" xfId="109" applyNumberFormat="1" applyFont="1" applyFill="1" applyBorder="1" applyAlignment="1">
      <alignment horizontal="right" vertical="center" indent="1"/>
      <protection/>
    </xf>
    <xf numFmtId="3" fontId="44" fillId="0" borderId="17" xfId="109" applyNumberFormat="1" applyFont="1" applyFill="1" applyBorder="1" applyAlignment="1">
      <alignment horizontal="right" vertical="center" indent="1"/>
      <protection/>
    </xf>
    <xf numFmtId="3" fontId="44" fillId="0" borderId="0" xfId="109" applyNumberFormat="1" applyFont="1" applyFill="1" applyBorder="1" applyAlignment="1">
      <alignment horizontal="right" vertical="center" indent="1"/>
      <protection/>
    </xf>
    <xf numFmtId="3" fontId="44" fillId="0" borderId="23" xfId="109" applyNumberFormat="1" applyFont="1" applyFill="1" applyBorder="1" applyAlignment="1">
      <alignment horizontal="right" vertical="center" indent="1"/>
      <protection/>
    </xf>
    <xf numFmtId="0" fontId="79" fillId="0" borderId="18" xfId="109" applyFont="1" applyBorder="1" applyAlignment="1">
      <alignment vertical="center" wrapText="1"/>
      <protection/>
    </xf>
    <xf numFmtId="4" fontId="79" fillId="0" borderId="22" xfId="109" applyNumberFormat="1" applyFont="1" applyBorder="1" applyAlignment="1">
      <alignment horizontal="right" vertical="center" indent="1"/>
      <protection/>
    </xf>
    <xf numFmtId="4" fontId="79" fillId="0" borderId="18" xfId="109" applyNumberFormat="1" applyFont="1" applyBorder="1" applyAlignment="1">
      <alignment horizontal="right" vertical="center" indent="1"/>
      <protection/>
    </xf>
    <xf numFmtId="4" fontId="84" fillId="0" borderId="0" xfId="109" applyNumberFormat="1" applyFont="1" applyFill="1" applyBorder="1" applyAlignment="1">
      <alignment horizontal="right" vertical="center" indent="1"/>
      <protection/>
    </xf>
    <xf numFmtId="4" fontId="44" fillId="0" borderId="22" xfId="109" applyNumberFormat="1" applyFont="1" applyFill="1" applyBorder="1" applyAlignment="1">
      <alignment horizontal="right" vertical="center" indent="1"/>
      <protection/>
    </xf>
    <xf numFmtId="4" fontId="79" fillId="47" borderId="18" xfId="109" applyNumberFormat="1" applyFont="1" applyFill="1" applyBorder="1" applyAlignment="1">
      <alignment horizontal="right" vertical="center" indent="1"/>
      <protection/>
    </xf>
    <xf numFmtId="0" fontId="78" fillId="0" borderId="0" xfId="109" applyFont="1" applyFill="1" applyBorder="1" applyAlignment="1">
      <alignment vertical="center"/>
      <protection/>
    </xf>
    <xf numFmtId="176" fontId="45" fillId="0" borderId="0" xfId="109" applyNumberFormat="1" applyFont="1" applyFill="1" applyBorder="1" applyAlignment="1">
      <alignment horizontal="right"/>
      <protection/>
    </xf>
    <xf numFmtId="176" fontId="85" fillId="49" borderId="17" xfId="109" applyNumberFormat="1" applyFont="1" applyFill="1" applyBorder="1" applyAlignment="1">
      <alignment horizontal="right" vertical="center" indent="1"/>
      <protection/>
    </xf>
    <xf numFmtId="176" fontId="44" fillId="0" borderId="0" xfId="109" applyNumberFormat="1" applyFont="1" applyFill="1" applyBorder="1" applyAlignment="1">
      <alignment horizontal="right"/>
      <protection/>
    </xf>
    <xf numFmtId="176" fontId="44" fillId="0" borderId="22" xfId="109" applyNumberFormat="1" applyFont="1" applyFill="1" applyBorder="1" applyAlignment="1" quotePrefix="1">
      <alignment horizontal="right" vertical="center" indent="1"/>
      <protection/>
    </xf>
    <xf numFmtId="176" fontId="44" fillId="0" borderId="18" xfId="109" applyNumberFormat="1" applyFont="1" applyFill="1" applyBorder="1" applyAlignment="1" quotePrefix="1">
      <alignment horizontal="right" vertical="center" indent="1"/>
      <protection/>
    </xf>
    <xf numFmtId="0" fontId="44" fillId="47" borderId="0" xfId="109" applyFont="1" applyFill="1" applyBorder="1" applyAlignment="1">
      <alignment vertical="center" wrapText="1"/>
      <protection/>
    </xf>
    <xf numFmtId="176" fontId="44" fillId="47" borderId="22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/>
      <protection/>
    </xf>
    <xf numFmtId="164" fontId="84" fillId="0" borderId="0" xfId="109" applyNumberFormat="1" applyFont="1" applyFill="1" applyBorder="1" applyAlignment="1">
      <alignment horizontal="right" vertical="center" indent="1"/>
      <protection/>
    </xf>
    <xf numFmtId="0" fontId="84" fillId="0" borderId="0" xfId="109" applyFont="1" applyFill="1" applyBorder="1" applyAlignment="1">
      <alignment/>
      <protection/>
    </xf>
    <xf numFmtId="0" fontId="45" fillId="47" borderId="18" xfId="109" applyFont="1" applyFill="1" applyBorder="1" applyAlignment="1">
      <alignment vertical="center"/>
      <protection/>
    </xf>
    <xf numFmtId="164" fontId="44" fillId="0" borderId="22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/>
      <protection/>
    </xf>
    <xf numFmtId="176" fontId="85" fillId="0" borderId="18" xfId="109" applyNumberFormat="1" applyFont="1" applyFill="1" applyBorder="1" applyAlignment="1">
      <alignment horizontal="right" vertical="center" indent="1"/>
      <protection/>
    </xf>
    <xf numFmtId="0" fontId="45" fillId="0" borderId="22" xfId="109" applyFont="1" applyFill="1" applyBorder="1" applyAlignment="1">
      <alignment vertical="center"/>
      <protection/>
    </xf>
    <xf numFmtId="0" fontId="45" fillId="0" borderId="22" xfId="109" applyFont="1" applyFill="1" applyBorder="1" applyAlignment="1">
      <alignment horizontal="right" vertical="center" indent="1"/>
      <protection/>
    </xf>
    <xf numFmtId="0" fontId="45" fillId="0" borderId="18" xfId="109" applyFont="1" applyFill="1" applyBorder="1" applyAlignment="1">
      <alignment horizontal="right" vertical="center" indent="1"/>
      <protection/>
    </xf>
    <xf numFmtId="176" fontId="45" fillId="0" borderId="0" xfId="109" applyNumberFormat="1" applyFont="1" applyFill="1" applyBorder="1" applyAlignment="1">
      <alignment horizontal="right" indent="1"/>
      <protection/>
    </xf>
    <xf numFmtId="2" fontId="45" fillId="0" borderId="0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 vertical="center"/>
      <protection/>
    </xf>
    <xf numFmtId="164" fontId="44" fillId="0" borderId="19" xfId="109" applyNumberFormat="1" applyFont="1" applyFill="1" applyBorder="1" applyAlignment="1">
      <alignment horizontal="right" vertical="center" indent="1"/>
      <protection/>
    </xf>
    <xf numFmtId="164" fontId="44" fillId="0" borderId="19" xfId="109" applyNumberFormat="1" applyFont="1" applyFill="1" applyBorder="1" applyAlignment="1">
      <alignment horizontal="right"/>
      <protection/>
    </xf>
    <xf numFmtId="164" fontId="84" fillId="0" borderId="19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/>
      <protection/>
    </xf>
    <xf numFmtId="164" fontId="84" fillId="0" borderId="19" xfId="109" applyNumberFormat="1" applyFont="1" applyFill="1" applyBorder="1" applyAlignment="1">
      <alignment horizontal="right"/>
      <protection/>
    </xf>
    <xf numFmtId="0" fontId="78" fillId="0" borderId="17" xfId="109" applyFont="1" applyBorder="1" applyAlignment="1">
      <alignment vertical="center" wrapText="1"/>
      <protection/>
    </xf>
    <xf numFmtId="0" fontId="78" fillId="0" borderId="0" xfId="109" applyFont="1" applyBorder="1" applyAlignment="1">
      <alignment vertical="center" wrapText="1"/>
      <protection/>
    </xf>
    <xf numFmtId="0" fontId="97" fillId="0" borderId="17" xfId="109" applyFont="1" applyBorder="1" applyAlignment="1">
      <alignment horizontal="center"/>
      <protection/>
    </xf>
    <xf numFmtId="0" fontId="97" fillId="0" borderId="0" xfId="109" applyFont="1" applyBorder="1" applyAlignment="1">
      <alignment horizontal="center"/>
      <protection/>
    </xf>
    <xf numFmtId="4" fontId="44" fillId="0" borderId="17" xfId="109" applyNumberFormat="1" applyFont="1" applyFill="1" applyBorder="1" applyAlignment="1">
      <alignment horizontal="right"/>
      <protection/>
    </xf>
    <xf numFmtId="0" fontId="44" fillId="0" borderId="17" xfId="109" applyFont="1" applyFill="1" applyBorder="1" applyAlignment="1">
      <alignment/>
      <protection/>
    </xf>
    <xf numFmtId="176" fontId="79" fillId="0" borderId="22" xfId="109" applyNumberFormat="1" applyFont="1" applyBorder="1" applyAlignment="1">
      <alignment horizontal="right" vertical="center" indent="1"/>
      <protection/>
    </xf>
    <xf numFmtId="176" fontId="79" fillId="0" borderId="18" xfId="109" applyNumberFormat="1" applyFont="1" applyBorder="1" applyAlignment="1">
      <alignment horizontal="right" vertical="center" indent="1"/>
      <protection/>
    </xf>
    <xf numFmtId="176" fontId="79" fillId="0" borderId="0" xfId="109" applyNumberFormat="1" applyFont="1" applyBorder="1" applyAlignment="1">
      <alignment horizontal="right" vertical="center" indent="1"/>
      <protection/>
    </xf>
    <xf numFmtId="176" fontId="79" fillId="47" borderId="22" xfId="109" applyNumberFormat="1" applyFont="1" applyFill="1" applyBorder="1" applyAlignment="1">
      <alignment horizontal="right" vertical="center" indent="1"/>
      <protection/>
    </xf>
    <xf numFmtId="176" fontId="79" fillId="47" borderId="18" xfId="109" applyNumberFormat="1" applyFont="1" applyFill="1" applyBorder="1" applyAlignment="1">
      <alignment horizontal="right" vertical="center" indent="1"/>
      <protection/>
    </xf>
    <xf numFmtId="176" fontId="79" fillId="0" borderId="0" xfId="109" applyNumberFormat="1" applyFont="1" applyFill="1" applyBorder="1" applyAlignment="1">
      <alignment horizontal="right" vertical="center" indent="1"/>
      <protection/>
    </xf>
    <xf numFmtId="0" fontId="78" fillId="0" borderId="18" xfId="109" applyFont="1" applyBorder="1" applyAlignment="1">
      <alignment vertical="center" wrapText="1"/>
      <protection/>
    </xf>
    <xf numFmtId="176" fontId="94" fillId="0" borderId="22" xfId="109" applyNumberFormat="1" applyFont="1" applyBorder="1" applyAlignment="1">
      <alignment horizontal="right" vertical="center" indent="1"/>
      <protection/>
    </xf>
    <xf numFmtId="176" fontId="94" fillId="0" borderId="18" xfId="109" applyNumberFormat="1" applyFont="1" applyBorder="1" applyAlignment="1">
      <alignment horizontal="right" vertical="center" indent="1"/>
      <protection/>
    </xf>
    <xf numFmtId="176" fontId="94" fillId="0" borderId="0" xfId="109" applyNumberFormat="1" applyFont="1" applyBorder="1" applyAlignment="1">
      <alignment horizontal="right" vertical="center" indent="1"/>
      <protection/>
    </xf>
    <xf numFmtId="176" fontId="79" fillId="0" borderId="18" xfId="109" applyNumberFormat="1" applyFont="1" applyBorder="1" applyAlignment="1">
      <alignment horizontal="right" vertical="center" wrapText="1" indent="1"/>
      <protection/>
    </xf>
    <xf numFmtId="0" fontId="44" fillId="0" borderId="0" xfId="109" applyFont="1" applyFill="1" applyBorder="1" applyAlignment="1">
      <alignment wrapText="1"/>
      <protection/>
    </xf>
    <xf numFmtId="0" fontId="96" fillId="0" borderId="0" xfId="109" applyFont="1" applyFill="1" applyBorder="1">
      <alignment/>
      <protection/>
    </xf>
    <xf numFmtId="176" fontId="84" fillId="49" borderId="17" xfId="109" applyNumberFormat="1" applyFont="1" applyFill="1" applyBorder="1" applyAlignment="1">
      <alignment horizontal="right" vertical="center" indent="1"/>
      <protection/>
    </xf>
    <xf numFmtId="176" fontId="0" fillId="0" borderId="0" xfId="109" applyNumberFormat="1" applyFill="1" applyBorder="1">
      <alignment/>
      <protection/>
    </xf>
    <xf numFmtId="206" fontId="48" fillId="0" borderId="21" xfId="109" applyNumberFormat="1" applyFont="1" applyFill="1" applyBorder="1" applyAlignment="1">
      <alignment horizontal="right" vertical="center" inden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  <xf numFmtId="3" fontId="44" fillId="47" borderId="18" xfId="109" applyNumberFormat="1" applyFont="1" applyFill="1" applyBorder="1" applyAlignment="1">
      <alignment horizontal="right" vertical="center" indent="1"/>
      <protection/>
    </xf>
    <xf numFmtId="4" fontId="44" fillId="47" borderId="18" xfId="109" applyNumberFormat="1" applyFont="1" applyFill="1" applyBorder="1" applyAlignment="1">
      <alignment horizontal="right" vertical="center" indent="1"/>
      <protection/>
    </xf>
    <xf numFmtId="176" fontId="45" fillId="47" borderId="18" xfId="109" applyNumberFormat="1" applyFont="1" applyFill="1" applyBorder="1" applyAlignment="1">
      <alignment horizontal="right" vertical="center" indent="1"/>
      <protection/>
    </xf>
    <xf numFmtId="164" fontId="45" fillId="47" borderId="18" xfId="109" applyNumberFormat="1" applyFont="1" applyFill="1" applyBorder="1" applyAlignment="1">
      <alignment horizontal="right" vertical="center" indent="1"/>
      <protection/>
    </xf>
    <xf numFmtId="9" fontId="45" fillId="47" borderId="18" xfId="116" applyFont="1" applyFill="1" applyBorder="1" applyAlignment="1">
      <alignment horizontal="right" vertical="center" indent="1"/>
    </xf>
    <xf numFmtId="9" fontId="44" fillId="47" borderId="18" xfId="116" applyFont="1" applyFill="1" applyBorder="1" applyAlignment="1">
      <alignment horizontal="right" vertical="center" indent="1"/>
    </xf>
    <xf numFmtId="3" fontId="44" fillId="47" borderId="17" xfId="109" applyNumberFormat="1" applyFont="1" applyFill="1" applyBorder="1" applyAlignment="1">
      <alignment horizontal="right" vertical="center" indent="1"/>
      <protection/>
    </xf>
    <xf numFmtId="176" fontId="45" fillId="47" borderId="17" xfId="109" applyNumberFormat="1" applyFont="1" applyFill="1" applyBorder="1" applyAlignment="1">
      <alignment horizontal="right" vertical="center" indent="1"/>
      <protection/>
    </xf>
    <xf numFmtId="2" fontId="45" fillId="47" borderId="18" xfId="109" applyNumberFormat="1" applyFont="1" applyFill="1" applyBorder="1" applyAlignment="1">
      <alignment horizontal="right" vertical="center" indent="1"/>
      <protection/>
    </xf>
    <xf numFmtId="176" fontId="44" fillId="47" borderId="17" xfId="109" applyNumberFormat="1" applyFont="1" applyFill="1" applyBorder="1" applyAlignment="1">
      <alignment horizontal="right" vertical="center" indent="1"/>
      <protection/>
    </xf>
    <xf numFmtId="0" fontId="77" fillId="0" borderId="0" xfId="109" applyFont="1" applyFill="1">
      <alignment/>
      <protection/>
    </xf>
    <xf numFmtId="0" fontId="77" fillId="0" borderId="0" xfId="109" applyFont="1" applyFill="1" applyBorder="1">
      <alignment/>
      <protection/>
    </xf>
    <xf numFmtId="176" fontId="0" fillId="0" borderId="0" xfId="109" applyNumberFormat="1" applyFont="1" applyFill="1" applyBorder="1">
      <alignment/>
      <protection/>
    </xf>
    <xf numFmtId="0" fontId="44" fillId="47" borderId="18" xfId="109" applyFont="1" applyFill="1" applyBorder="1" applyAlignment="1">
      <alignment horizontal="left" vertical="center" wrapText="1" indent="2"/>
      <protection/>
    </xf>
    <xf numFmtId="0" fontId="45" fillId="47" borderId="19" xfId="109" applyFont="1" applyFill="1" applyBorder="1" applyAlignment="1">
      <alignment horizontal="center"/>
      <protection/>
    </xf>
    <xf numFmtId="0" fontId="45" fillId="47" borderId="17" xfId="109" applyFont="1" applyFill="1" applyBorder="1" applyAlignment="1">
      <alignment horizontal="center" wrapText="1"/>
      <protection/>
    </xf>
    <xf numFmtId="4" fontId="44" fillId="47" borderId="18" xfId="109" applyNumberFormat="1" applyFont="1" applyFill="1" applyBorder="1" applyAlignment="1">
      <alignment horizontal="right"/>
      <protection/>
    </xf>
    <xf numFmtId="176" fontId="44" fillId="47" borderId="19" xfId="109" applyNumberFormat="1" applyFont="1" applyFill="1" applyBorder="1" applyAlignment="1">
      <alignment horizontal="right" vertical="center" indent="1"/>
      <protection/>
    </xf>
    <xf numFmtId="2" fontId="44" fillId="47" borderId="18" xfId="109" applyNumberFormat="1" applyFont="1" applyFill="1" applyBorder="1" applyAlignment="1">
      <alignment horizontal="right" vertical="center" indent="1"/>
      <protection/>
    </xf>
    <xf numFmtId="2" fontId="44" fillId="47" borderId="0" xfId="109" applyNumberFormat="1" applyFont="1" applyFill="1" applyBorder="1" applyAlignment="1">
      <alignment horizontal="right" vertical="center" indent="1"/>
      <protection/>
    </xf>
    <xf numFmtId="4" fontId="44" fillId="47" borderId="0" xfId="109" applyNumberFormat="1" applyFont="1" applyFill="1">
      <alignment/>
      <protection/>
    </xf>
    <xf numFmtId="176" fontId="45" fillId="47" borderId="19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 applyAlignment="1">
      <alignment horizontal="right" vertical="center"/>
      <protection/>
    </xf>
    <xf numFmtId="176" fontId="44" fillId="47" borderId="0" xfId="109" applyNumberFormat="1" applyFont="1" applyFill="1" applyBorder="1" applyAlignment="1">
      <alignment horizontal="right" vertical="center" indent="1"/>
      <protection/>
    </xf>
    <xf numFmtId="0" fontId="44" fillId="47" borderId="17" xfId="109" applyFont="1" applyFill="1" applyBorder="1">
      <alignment/>
      <protection/>
    </xf>
    <xf numFmtId="0" fontId="44" fillId="47" borderId="0" xfId="109" applyFont="1" applyFill="1" applyBorder="1" applyAlignment="1">
      <alignment/>
      <protection/>
    </xf>
    <xf numFmtId="164" fontId="44" fillId="47" borderId="19" xfId="109" applyNumberFormat="1" applyFont="1" applyFill="1" applyBorder="1" applyAlignment="1">
      <alignment horizontal="right"/>
      <protection/>
    </xf>
    <xf numFmtId="176" fontId="45" fillId="47" borderId="0" xfId="109" applyNumberFormat="1" applyFont="1" applyFill="1" applyBorder="1" applyAlignment="1">
      <alignment horizontal="right" vertical="center" indent="1"/>
      <protection/>
    </xf>
    <xf numFmtId="3" fontId="44" fillId="0" borderId="0" xfId="109" applyNumberFormat="1" applyFont="1" applyFill="1" applyBorder="1">
      <alignment/>
      <protection/>
    </xf>
    <xf numFmtId="3" fontId="80" fillId="0" borderId="0" xfId="109" applyNumberFormat="1" applyFont="1" applyFill="1" applyBorder="1">
      <alignment/>
      <protection/>
    </xf>
    <xf numFmtId="3" fontId="78" fillId="0" borderId="17" xfId="109" applyNumberFormat="1" applyFont="1" applyFill="1" applyBorder="1" applyAlignment="1">
      <alignment horizontal="center" vertical="center" wrapText="1"/>
      <protection/>
    </xf>
    <xf numFmtId="3" fontId="78" fillId="0" borderId="0" xfId="109" applyNumberFormat="1" applyFont="1" applyFill="1" applyBorder="1" applyAlignment="1">
      <alignment horizontal="center" vertical="center" wrapText="1"/>
      <protection/>
    </xf>
    <xf numFmtId="3" fontId="44" fillId="0" borderId="0" xfId="109" applyNumberFormat="1" applyFont="1" applyFill="1" applyBorder="1" applyAlignment="1">
      <alignment/>
      <protection/>
    </xf>
    <xf numFmtId="0" fontId="44" fillId="0" borderId="18" xfId="109" applyFont="1" applyFill="1" applyBorder="1" applyAlignment="1">
      <alignment vertical="center" wrapText="1"/>
      <protection/>
    </xf>
    <xf numFmtId="0" fontId="78" fillId="0" borderId="0" xfId="109" applyFont="1" applyFill="1" applyBorder="1" applyAlignment="1">
      <alignment vertical="center" wrapText="1"/>
      <protection/>
    </xf>
    <xf numFmtId="0" fontId="78" fillId="0" borderId="18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>
      <alignment/>
      <protection/>
    </xf>
    <xf numFmtId="4" fontId="44" fillId="47" borderId="0" xfId="109" applyNumberFormat="1" applyFont="1" applyFill="1" applyBorder="1">
      <alignment/>
      <protection/>
    </xf>
    <xf numFmtId="4" fontId="44" fillId="47" borderId="17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 applyAlignment="1">
      <alignment/>
      <protection/>
    </xf>
    <xf numFmtId="3" fontId="45" fillId="47" borderId="17" xfId="109" applyNumberFormat="1" applyFont="1" applyFill="1" applyBorder="1" applyAlignment="1">
      <alignment horizontal="right" vertical="center" indent="1"/>
      <protection/>
    </xf>
    <xf numFmtId="0" fontId="44" fillId="47" borderId="0" xfId="109" applyFont="1" applyFill="1" applyBorder="1">
      <alignment/>
      <protection/>
    </xf>
    <xf numFmtId="0" fontId="86" fillId="51" borderId="25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 quotePrefix="1">
      <alignment horizontal="left" vertical="top"/>
    </xf>
    <xf numFmtId="176" fontId="44" fillId="47" borderId="20" xfId="109" applyNumberFormat="1" applyFont="1" applyFill="1" applyBorder="1" applyAlignment="1">
      <alignment horizontal="right" vertical="center" indent="1"/>
      <protection/>
    </xf>
    <xf numFmtId="176" fontId="45" fillId="47" borderId="20" xfId="109" applyNumberFormat="1" applyFont="1" applyFill="1" applyBorder="1" applyAlignment="1">
      <alignment horizontal="right" vertical="center" indent="1"/>
      <protection/>
    </xf>
    <xf numFmtId="0" fontId="44" fillId="0" borderId="20" xfId="109" applyFont="1" applyFill="1" applyBorder="1">
      <alignment/>
      <protection/>
    </xf>
    <xf numFmtId="0" fontId="44" fillId="47" borderId="0" xfId="109" applyFont="1" applyFill="1">
      <alignment/>
      <protection/>
    </xf>
    <xf numFmtId="0" fontId="80" fillId="47" borderId="0" xfId="109" applyFont="1" applyFill="1">
      <alignment/>
      <protection/>
    </xf>
    <xf numFmtId="0" fontId="78" fillId="47" borderId="17" xfId="0" applyFont="1" applyFill="1" applyBorder="1" applyAlignment="1">
      <alignment horizontal="center" vertical="center" wrapText="1"/>
    </xf>
    <xf numFmtId="0" fontId="83" fillId="47" borderId="0" xfId="109" applyFont="1" applyFill="1" applyBorder="1">
      <alignment/>
      <protection/>
    </xf>
    <xf numFmtId="0" fontId="96" fillId="47" borderId="0" xfId="109" applyFont="1" applyFill="1">
      <alignment/>
      <protection/>
    </xf>
    <xf numFmtId="0" fontId="78" fillId="47" borderId="17" xfId="109" applyFont="1" applyFill="1" applyBorder="1" applyAlignment="1">
      <alignment horizontal="center" wrapText="1"/>
      <protection/>
    </xf>
    <xf numFmtId="176" fontId="85" fillId="47" borderId="0" xfId="109" applyNumberFormat="1" applyFont="1" applyFill="1" applyBorder="1" applyAlignment="1">
      <alignment horizontal="right" vertical="center" indent="1"/>
      <protection/>
    </xf>
    <xf numFmtId="3" fontId="44" fillId="47" borderId="0" xfId="109" applyNumberFormat="1" applyFont="1" applyFill="1" applyBorder="1">
      <alignment/>
      <protection/>
    </xf>
    <xf numFmtId="3" fontId="80" fillId="47" borderId="0" xfId="109" applyNumberFormat="1" applyFont="1" applyFill="1" applyBorder="1">
      <alignment/>
      <protection/>
    </xf>
    <xf numFmtId="3" fontId="78" fillId="47" borderId="17" xfId="109" applyNumberFormat="1" applyFont="1" applyFill="1" applyBorder="1" applyAlignment="1">
      <alignment horizontal="center" vertical="center" wrapText="1"/>
      <protection/>
    </xf>
    <xf numFmtId="3" fontId="78" fillId="47" borderId="0" xfId="109" applyNumberFormat="1" applyFont="1" applyFill="1" applyBorder="1" applyAlignment="1">
      <alignment horizontal="center" vertical="center" wrapText="1"/>
      <protection/>
    </xf>
    <xf numFmtId="3" fontId="84" fillId="49" borderId="18" xfId="109" applyNumberFormat="1" applyFont="1" applyFill="1" applyBorder="1" applyAlignment="1">
      <alignment horizontal="right" vertical="center" indent="1"/>
      <protection/>
    </xf>
    <xf numFmtId="4" fontId="84" fillId="49" borderId="18" xfId="109" applyNumberFormat="1" applyFont="1" applyFill="1" applyBorder="1" applyAlignment="1">
      <alignment horizontal="right" vertical="center" indent="1"/>
      <protection/>
    </xf>
    <xf numFmtId="2" fontId="85" fillId="49" borderId="18" xfId="109" applyNumberFormat="1" applyFont="1" applyFill="1" applyBorder="1" applyAlignment="1">
      <alignment horizontal="right" vertical="center" indent="1"/>
      <protection/>
    </xf>
    <xf numFmtId="176" fontId="84" fillId="49" borderId="22" xfId="109" applyNumberFormat="1" applyFont="1" applyFill="1" applyBorder="1" applyAlignment="1">
      <alignment horizontal="right" vertical="center" indent="1"/>
      <protection/>
    </xf>
    <xf numFmtId="176" fontId="85" fillId="49" borderId="22" xfId="109" applyNumberFormat="1" applyFont="1" applyFill="1" applyBorder="1" applyAlignment="1">
      <alignment horizontal="right" vertical="center" indent="1"/>
      <protection/>
    </xf>
    <xf numFmtId="3" fontId="85" fillId="49" borderId="17" xfId="109" applyNumberFormat="1" applyFont="1" applyFill="1" applyBorder="1" applyAlignment="1">
      <alignment horizontal="right" vertical="center" indent="1"/>
      <protection/>
    </xf>
    <xf numFmtId="3" fontId="84" fillId="49" borderId="17" xfId="109" applyNumberFormat="1" applyFont="1" applyFill="1" applyBorder="1" applyAlignment="1">
      <alignment horizontal="right" vertical="center" indent="1"/>
      <protection/>
    </xf>
    <xf numFmtId="176" fontId="84" fillId="49" borderId="26" xfId="109" applyNumberFormat="1" applyFont="1" applyFill="1" applyBorder="1" applyAlignment="1">
      <alignment horizontal="right" vertical="center" indent="1"/>
      <protection/>
    </xf>
    <xf numFmtId="176" fontId="84" fillId="49" borderId="20" xfId="109" applyNumberFormat="1" applyFont="1" applyFill="1" applyBorder="1" applyAlignment="1">
      <alignment horizontal="right" vertical="center" indent="1"/>
      <protection/>
    </xf>
    <xf numFmtId="176" fontId="84" fillId="49" borderId="27" xfId="109" applyNumberFormat="1" applyFont="1" applyFill="1" applyBorder="1" applyAlignment="1">
      <alignment horizontal="right" vertical="center" indent="1"/>
      <protection/>
    </xf>
    <xf numFmtId="176" fontId="85" fillId="49" borderId="26" xfId="109" applyNumberFormat="1" applyFont="1" applyFill="1" applyBorder="1" applyAlignment="1">
      <alignment horizontal="right" vertical="center" indent="1"/>
      <protection/>
    </xf>
    <xf numFmtId="176" fontId="85" fillId="49" borderId="20" xfId="109" applyNumberFormat="1" applyFont="1" applyFill="1" applyBorder="1" applyAlignment="1">
      <alignment horizontal="right" vertical="center" indent="1"/>
      <protection/>
    </xf>
    <xf numFmtId="176" fontId="85" fillId="49" borderId="27" xfId="109" applyNumberFormat="1" applyFont="1" applyFill="1" applyBorder="1" applyAlignment="1">
      <alignment horizontal="right" vertical="center" inden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 wrapText="1"/>
      <protection/>
    </xf>
    <xf numFmtId="176" fontId="84" fillId="49" borderId="24" xfId="109" applyNumberFormat="1" applyFont="1" applyFill="1" applyBorder="1" applyAlignment="1">
      <alignment horizontal="right" vertical="center" indent="1"/>
      <protection/>
    </xf>
    <xf numFmtId="176" fontId="84" fillId="49" borderId="23" xfId="109" applyNumberFormat="1" applyFont="1" applyFill="1" applyBorder="1" applyAlignment="1">
      <alignment horizontal="right" vertical="center" indent="1"/>
      <protection/>
    </xf>
    <xf numFmtId="176" fontId="85" fillId="49" borderId="23" xfId="109" applyNumberFormat="1" applyFont="1" applyFill="1" applyBorder="1" applyAlignment="1">
      <alignment horizontal="right" vertical="center" indent="1"/>
      <protection/>
    </xf>
    <xf numFmtId="176" fontId="77" fillId="0" borderId="0" xfId="109" applyNumberFormat="1" applyFont="1" applyFill="1" applyBorder="1">
      <alignment/>
      <protection/>
    </xf>
    <xf numFmtId="3" fontId="85" fillId="49" borderId="18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Alignment="1">
      <alignment/>
      <protection/>
    </xf>
    <xf numFmtId="9" fontId="85" fillId="49" borderId="18" xfId="115" applyFont="1" applyFill="1" applyBorder="1" applyAlignment="1">
      <alignment horizontal="right" vertical="center" indent="1"/>
    </xf>
    <xf numFmtId="9" fontId="44" fillId="0" borderId="0" xfId="115" applyFont="1" applyFill="1" applyAlignment="1">
      <alignment/>
    </xf>
    <xf numFmtId="10" fontId="44" fillId="0" borderId="0" xfId="115" applyNumberFormat="1" applyFont="1" applyFill="1" applyAlignment="1">
      <alignment/>
    </xf>
    <xf numFmtId="9" fontId="45" fillId="0" borderId="0" xfId="115" applyFont="1" applyFill="1" applyAlignment="1">
      <alignment/>
    </xf>
    <xf numFmtId="2" fontId="45" fillId="0" borderId="0" xfId="109" applyNumberFormat="1" applyFont="1" applyFill="1" applyAlignment="1">
      <alignment/>
      <protection/>
    </xf>
    <xf numFmtId="192" fontId="48" fillId="0" borderId="21" xfId="109" applyNumberFormat="1" applyFont="1" applyFill="1" applyBorder="1" applyAlignment="1">
      <alignment horizontal="right" vertical="center" indent="1"/>
      <protection/>
    </xf>
    <xf numFmtId="4" fontId="48" fillId="0" borderId="21" xfId="109" applyNumberFormat="1" applyFont="1" applyFill="1" applyBorder="1" applyAlignment="1">
      <alignment horizontal="right" vertical="center" indent="1"/>
      <protection/>
    </xf>
    <xf numFmtId="0" fontId="51" fillId="0" borderId="0" xfId="109" applyFont="1" applyFill="1" applyBorder="1" applyAlignment="1">
      <alignment horizontal="center" wrapText="1"/>
      <protection/>
    </xf>
    <xf numFmtId="0" fontId="51" fillId="0" borderId="0" xfId="109" applyFont="1" applyFill="1" applyAlignment="1">
      <alignment horizontal="center" wrapText="1"/>
      <protection/>
    </xf>
    <xf numFmtId="0" fontId="101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 shrinkToFit="1"/>
    </xf>
    <xf numFmtId="0" fontId="93" fillId="47" borderId="0" xfId="109" applyFont="1" applyFill="1" applyBorder="1" applyAlignment="1">
      <alignment horizontal="center" wrapText="1"/>
      <protection/>
    </xf>
    <xf numFmtId="0" fontId="93" fillId="47" borderId="17" xfId="109" applyFont="1" applyFill="1" applyBorder="1" applyAlignment="1">
      <alignment horizontal="center" wrapText="1"/>
      <protection/>
    </xf>
    <xf numFmtId="0" fontId="93" fillId="0" borderId="17" xfId="0" applyFont="1" applyFill="1" applyBorder="1" applyAlignment="1">
      <alignment/>
    </xf>
    <xf numFmtId="0" fontId="86" fillId="0" borderId="18" xfId="0" applyFont="1" applyFill="1" applyBorder="1" applyAlignment="1">
      <alignment horizontal="right"/>
    </xf>
    <xf numFmtId="0" fontId="86" fillId="0" borderId="19" xfId="0" applyFont="1" applyFill="1" applyBorder="1" applyAlignment="1">
      <alignment horizontal="right"/>
    </xf>
    <xf numFmtId="0" fontId="86" fillId="0" borderId="0" xfId="0" applyFont="1" applyFill="1" applyBorder="1" applyAlignment="1">
      <alignment/>
    </xf>
    <xf numFmtId="0" fontId="86" fillId="0" borderId="22" xfId="0" applyFont="1" applyFill="1" applyBorder="1" applyAlignment="1">
      <alignment/>
    </xf>
    <xf numFmtId="185" fontId="86" fillId="0" borderId="17" xfId="0" applyNumberFormat="1" applyFont="1" applyFill="1" applyBorder="1" applyAlignment="1">
      <alignment horizontal="right"/>
    </xf>
    <xf numFmtId="185" fontId="86" fillId="0" borderId="0" xfId="0" applyNumberFormat="1" applyFont="1" applyFill="1" applyBorder="1" applyAlignment="1">
      <alignment horizontal="right" wrapText="1"/>
    </xf>
    <xf numFmtId="185" fontId="86" fillId="0" borderId="22" xfId="0" applyNumberFormat="1" applyFont="1" applyFill="1" applyBorder="1" applyAlignment="1">
      <alignment horizontal="right"/>
    </xf>
    <xf numFmtId="9" fontId="86" fillId="0" borderId="17" xfId="116" applyNumberFormat="1" applyFont="1" applyFill="1" applyBorder="1" applyAlignment="1">
      <alignment horizontal="right"/>
    </xf>
    <xf numFmtId="9" fontId="86" fillId="0" borderId="0" xfId="116" applyNumberFormat="1" applyFont="1" applyFill="1" applyBorder="1" applyAlignment="1">
      <alignment horizontal="right"/>
    </xf>
    <xf numFmtId="9" fontId="86" fillId="0" borderId="0" xfId="116" applyFont="1" applyFill="1" applyBorder="1" applyAlignment="1">
      <alignment horizontal="right"/>
    </xf>
    <xf numFmtId="9" fontId="86" fillId="0" borderId="0" xfId="0" applyNumberFormat="1" applyFont="1" applyFill="1" applyBorder="1" applyAlignment="1">
      <alignment horizontal="right"/>
    </xf>
    <xf numFmtId="185" fontId="48" fillId="47" borderId="18" xfId="0" applyNumberFormat="1" applyFont="1" applyFill="1" applyBorder="1" applyAlignment="1">
      <alignment horizontal="right"/>
    </xf>
    <xf numFmtId="9" fontId="48" fillId="47" borderId="17" xfId="116" applyNumberFormat="1" applyFont="1" applyFill="1" applyBorder="1" applyAlignment="1">
      <alignment horizontal="right"/>
    </xf>
    <xf numFmtId="185" fontId="102" fillId="49" borderId="28" xfId="0" applyNumberFormat="1" applyFont="1" applyFill="1" applyBorder="1" applyAlignment="1">
      <alignment horizontal="right" vertical="center"/>
    </xf>
    <xf numFmtId="9" fontId="102" fillId="49" borderId="28" xfId="0" applyNumberFormat="1" applyFont="1" applyFill="1" applyBorder="1" applyAlignment="1">
      <alignment horizontal="right" vertical="center"/>
    </xf>
    <xf numFmtId="185" fontId="86" fillId="0" borderId="0" xfId="0" applyNumberFormat="1" applyFont="1" applyFill="1" applyBorder="1" applyAlignment="1">
      <alignment horizontal="right" vertical="center" wrapText="1"/>
    </xf>
    <xf numFmtId="185" fontId="48" fillId="47" borderId="17" xfId="0" applyNumberFormat="1" applyFont="1" applyFill="1" applyBorder="1" applyAlignment="1">
      <alignment horizontal="right"/>
    </xf>
    <xf numFmtId="9" fontId="102" fillId="49" borderId="28" xfId="0" applyNumberFormat="1" applyFont="1" applyFill="1" applyBorder="1" applyAlignment="1" quotePrefix="1">
      <alignment horizontal="right" vertical="center"/>
    </xf>
    <xf numFmtId="173" fontId="86" fillId="0" borderId="17" xfId="0" applyNumberFormat="1" applyFont="1" applyFill="1" applyBorder="1" applyAlignment="1">
      <alignment horizontal="right"/>
    </xf>
    <xf numFmtId="173" fontId="48" fillId="47" borderId="17" xfId="0" applyNumberFormat="1" applyFont="1" applyFill="1" applyBorder="1" applyAlignment="1">
      <alignment horizontal="right"/>
    </xf>
    <xf numFmtId="185" fontId="103" fillId="49" borderId="28" xfId="0" applyNumberFormat="1" applyFont="1" applyFill="1" applyBorder="1" applyAlignment="1">
      <alignment horizontal="right" vertical="center"/>
    </xf>
    <xf numFmtId="173" fontId="102" fillId="49" borderId="28" xfId="0" applyNumberFormat="1" applyFont="1" applyFill="1" applyBorder="1" applyAlignment="1">
      <alignment horizontal="right" vertical="center"/>
    </xf>
    <xf numFmtId="185" fontId="86" fillId="0" borderId="0" xfId="0" applyNumberFormat="1" applyFont="1" applyFill="1" applyBorder="1" applyAlignment="1">
      <alignment horizontal="right"/>
    </xf>
    <xf numFmtId="185" fontId="86" fillId="0" borderId="0" xfId="0" applyNumberFormat="1" applyFont="1" applyFill="1" applyBorder="1" applyAlignment="1">
      <alignment horizontal="right" vertical="center"/>
    </xf>
    <xf numFmtId="185" fontId="102" fillId="0" borderId="28" xfId="0" applyNumberFormat="1" applyFont="1" applyBorder="1" applyAlignment="1">
      <alignment horizontal="right" vertical="center"/>
    </xf>
    <xf numFmtId="185" fontId="86" fillId="0" borderId="18" xfId="0" applyNumberFormat="1" applyFont="1" applyFill="1" applyBorder="1" applyAlignment="1">
      <alignment horizontal="right"/>
    </xf>
    <xf numFmtId="9" fontId="86" fillId="0" borderId="18" xfId="116" applyNumberFormat="1" applyFont="1" applyFill="1" applyBorder="1" applyAlignment="1">
      <alignment horizontal="right"/>
    </xf>
    <xf numFmtId="9" fontId="86" fillId="0" borderId="0" xfId="116" applyFont="1" applyFill="1" applyBorder="1" applyAlignment="1">
      <alignment horizontal="right" vertical="center"/>
    </xf>
    <xf numFmtId="9" fontId="86" fillId="0" borderId="0" xfId="0" applyNumberFormat="1" applyFont="1" applyFill="1" applyBorder="1" applyAlignment="1">
      <alignment/>
    </xf>
    <xf numFmtId="185" fontId="48" fillId="47" borderId="0" xfId="0" applyNumberFormat="1" applyFont="1" applyFill="1" applyBorder="1" applyAlignment="1">
      <alignment horizontal="right"/>
    </xf>
    <xf numFmtId="186" fontId="86" fillId="0" borderId="18" xfId="116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86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wrapText="1"/>
    </xf>
    <xf numFmtId="17" fontId="93" fillId="0" borderId="0" xfId="0" applyNumberFormat="1" applyFont="1" applyFill="1" applyBorder="1" applyAlignment="1">
      <alignment horizontal="right"/>
    </xf>
    <xf numFmtId="0" fontId="104" fillId="0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105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8" xfId="0" applyFont="1" applyFill="1" applyBorder="1" applyAlignment="1">
      <alignment horizontal="right"/>
    </xf>
    <xf numFmtId="0" fontId="48" fillId="47" borderId="18" xfId="0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185" fontId="48" fillId="0" borderId="18" xfId="0" applyNumberFormat="1" applyFont="1" applyFill="1" applyBorder="1" applyAlignment="1">
      <alignment horizontal="right"/>
    </xf>
    <xf numFmtId="0" fontId="105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8" fillId="47" borderId="0" xfId="0" applyFont="1" applyFill="1" applyBorder="1" applyAlignment="1">
      <alignment horizontal="right"/>
    </xf>
    <xf numFmtId="0" fontId="103" fillId="47" borderId="0" xfId="0" applyFont="1" applyFill="1" applyBorder="1" applyAlignment="1">
      <alignment horizontal="right"/>
    </xf>
    <xf numFmtId="2" fontId="48" fillId="47" borderId="18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17" fontId="48" fillId="0" borderId="0" xfId="0" applyNumberFormat="1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 vertical="center" wrapText="1"/>
    </xf>
    <xf numFmtId="0" fontId="93" fillId="0" borderId="0" xfId="109" applyFont="1" applyFill="1" applyBorder="1" applyAlignment="1">
      <alignment horizontal="center" wrapText="1"/>
      <protection/>
    </xf>
    <xf numFmtId="0" fontId="86" fillId="0" borderId="0" xfId="0" applyFont="1" applyAlignment="1">
      <alignment/>
    </xf>
    <xf numFmtId="0" fontId="86" fillId="0" borderId="0" xfId="0" applyFont="1" applyBorder="1" applyAlignment="1">
      <alignment/>
    </xf>
    <xf numFmtId="185" fontId="86" fillId="0" borderId="17" xfId="0" applyNumberFormat="1" applyFont="1" applyFill="1" applyBorder="1" applyAlignment="1">
      <alignment horizontal="right" wrapText="1"/>
    </xf>
    <xf numFmtId="9" fontId="86" fillId="0" borderId="17" xfId="116" applyFont="1" applyFill="1" applyBorder="1" applyAlignment="1">
      <alignment horizontal="right"/>
    </xf>
    <xf numFmtId="9" fontId="86" fillId="0" borderId="17" xfId="0" applyNumberFormat="1" applyFont="1" applyFill="1" applyBorder="1" applyAlignment="1">
      <alignment horizontal="right"/>
    </xf>
    <xf numFmtId="0" fontId="103" fillId="49" borderId="28" xfId="0" applyFont="1" applyFill="1" applyBorder="1" applyAlignment="1">
      <alignment horizontal="right" vertical="center"/>
    </xf>
    <xf numFmtId="9" fontId="103" fillId="49" borderId="28" xfId="0" applyNumberFormat="1" applyFont="1" applyFill="1" applyBorder="1" applyAlignment="1">
      <alignment vertical="center"/>
    </xf>
    <xf numFmtId="185" fontId="86" fillId="0" borderId="18" xfId="0" applyNumberFormat="1" applyFont="1" applyFill="1" applyBorder="1" applyAlignment="1">
      <alignment horizontal="right" wrapText="1"/>
    </xf>
    <xf numFmtId="9" fontId="86" fillId="0" borderId="18" xfId="116" applyFont="1" applyFill="1" applyBorder="1" applyAlignment="1">
      <alignment horizontal="right"/>
    </xf>
    <xf numFmtId="9" fontId="86" fillId="0" borderId="18" xfId="0" applyNumberFormat="1" applyFont="1" applyFill="1" applyBorder="1" applyAlignment="1">
      <alignment horizontal="right"/>
    </xf>
    <xf numFmtId="0" fontId="103" fillId="49" borderId="28" xfId="0" applyFont="1" applyFill="1" applyBorder="1" applyAlignment="1">
      <alignment vertical="center"/>
    </xf>
    <xf numFmtId="9" fontId="86" fillId="0" borderId="18" xfId="0" applyNumberFormat="1" applyFont="1" applyFill="1" applyBorder="1" applyAlignment="1" quotePrefix="1">
      <alignment horizontal="right"/>
    </xf>
    <xf numFmtId="9" fontId="103" fillId="49" borderId="28" xfId="0" applyNumberFormat="1" applyFont="1" applyFill="1" applyBorder="1" applyAlignment="1" quotePrefix="1">
      <alignment horizontal="right" vertical="center"/>
    </xf>
    <xf numFmtId="0" fontId="87" fillId="0" borderId="22" xfId="0" applyFont="1" applyFill="1" applyBorder="1" applyAlignment="1">
      <alignment/>
    </xf>
    <xf numFmtId="185" fontId="87" fillId="0" borderId="18" xfId="0" applyNumberFormat="1" applyFont="1" applyFill="1" applyBorder="1" applyAlignment="1">
      <alignment horizontal="right" wrapText="1"/>
    </xf>
    <xf numFmtId="185" fontId="87" fillId="0" borderId="0" xfId="0" applyNumberFormat="1" applyFont="1" applyFill="1" applyBorder="1" applyAlignment="1">
      <alignment horizontal="right" wrapText="1"/>
    </xf>
    <xf numFmtId="185" fontId="87" fillId="0" borderId="22" xfId="0" applyNumberFormat="1" applyFont="1" applyFill="1" applyBorder="1" applyAlignment="1">
      <alignment horizontal="right"/>
    </xf>
    <xf numFmtId="185" fontId="87" fillId="0" borderId="18" xfId="0" applyNumberFormat="1" applyFont="1" applyFill="1" applyBorder="1" applyAlignment="1">
      <alignment horizontal="right"/>
    </xf>
    <xf numFmtId="9" fontId="87" fillId="0" borderId="18" xfId="116" applyNumberFormat="1" applyFont="1" applyFill="1" applyBorder="1" applyAlignment="1">
      <alignment horizontal="right"/>
    </xf>
    <xf numFmtId="9" fontId="87" fillId="0" borderId="0" xfId="116" applyNumberFormat="1" applyFont="1" applyFill="1" applyBorder="1" applyAlignment="1">
      <alignment horizontal="right"/>
    </xf>
    <xf numFmtId="9" fontId="87" fillId="0" borderId="18" xfId="116" applyFont="1" applyFill="1" applyBorder="1" applyAlignment="1">
      <alignment horizontal="right"/>
    </xf>
    <xf numFmtId="9" fontId="87" fillId="0" borderId="0" xfId="116" applyFont="1" applyFill="1" applyBorder="1" applyAlignment="1">
      <alignment horizontal="right"/>
    </xf>
    <xf numFmtId="9" fontId="87" fillId="0" borderId="18" xfId="0" applyNumberFormat="1" applyFont="1" applyFill="1" applyBorder="1" applyAlignment="1">
      <alignment horizontal="right"/>
    </xf>
    <xf numFmtId="9" fontId="87" fillId="0" borderId="0" xfId="0" applyNumberFormat="1" applyFont="1" applyFill="1" applyBorder="1" applyAlignment="1">
      <alignment horizontal="right"/>
    </xf>
    <xf numFmtId="185" fontId="50" fillId="47" borderId="18" xfId="0" applyNumberFormat="1" applyFont="1" applyFill="1" applyBorder="1" applyAlignment="1">
      <alignment horizontal="right"/>
    </xf>
    <xf numFmtId="185" fontId="107" fillId="49" borderId="28" xfId="0" applyNumberFormat="1" applyFont="1" applyFill="1" applyBorder="1" applyAlignment="1">
      <alignment horizontal="right" vertical="center"/>
    </xf>
    <xf numFmtId="0" fontId="87" fillId="0" borderId="0" xfId="0" applyFont="1" applyFill="1" applyAlignment="1">
      <alignment/>
    </xf>
    <xf numFmtId="173" fontId="86" fillId="0" borderId="18" xfId="0" applyNumberFormat="1" applyFont="1" applyFill="1" applyBorder="1" applyAlignment="1">
      <alignment horizontal="right" wrapText="1"/>
    </xf>
    <xf numFmtId="173" fontId="48" fillId="47" borderId="18" xfId="0" applyNumberFormat="1" applyFont="1" applyFill="1" applyBorder="1" applyAlignment="1">
      <alignment horizontal="right"/>
    </xf>
    <xf numFmtId="173" fontId="103" fillId="49" borderId="28" xfId="0" applyNumberFormat="1" applyFont="1" applyFill="1" applyBorder="1" applyAlignment="1">
      <alignment horizontal="right" vertical="center"/>
    </xf>
    <xf numFmtId="0" fontId="93" fillId="0" borderId="18" xfId="0" applyFont="1" applyFill="1" applyBorder="1" applyAlignment="1">
      <alignment/>
    </xf>
    <xf numFmtId="9" fontId="86" fillId="0" borderId="0" xfId="0" applyNumberFormat="1" applyFont="1" applyAlignment="1">
      <alignment/>
    </xf>
    <xf numFmtId="9" fontId="48" fillId="47" borderId="0" xfId="0" applyNumberFormat="1" applyFont="1" applyFill="1" applyAlignment="1">
      <alignment/>
    </xf>
    <xf numFmtId="0" fontId="103" fillId="0" borderId="28" xfId="0" applyFont="1" applyBorder="1" applyAlignment="1">
      <alignment horizontal="right" vertical="center"/>
    </xf>
    <xf numFmtId="0" fontId="86" fillId="0" borderId="0" xfId="0" applyFont="1" applyFill="1" applyAlignment="1">
      <alignment/>
    </xf>
    <xf numFmtId="0" fontId="108" fillId="0" borderId="0" xfId="0" applyFont="1" applyFill="1" applyBorder="1" applyAlignment="1">
      <alignment vertical="center"/>
    </xf>
    <xf numFmtId="17" fontId="93" fillId="0" borderId="0" xfId="0" applyNumberFormat="1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/>
    </xf>
    <xf numFmtId="0" fontId="104" fillId="0" borderId="0" xfId="0" applyFont="1" applyFill="1" applyBorder="1" applyAlignment="1">
      <alignment/>
    </xf>
    <xf numFmtId="0" fontId="93" fillId="0" borderId="0" xfId="0" applyFont="1" applyFill="1" applyBorder="1" applyAlignment="1">
      <alignment horizontal="right"/>
    </xf>
    <xf numFmtId="0" fontId="104" fillId="0" borderId="0" xfId="0" applyFont="1" applyFill="1" applyBorder="1" applyAlignment="1">
      <alignment horizontal="right"/>
    </xf>
    <xf numFmtId="207" fontId="48" fillId="47" borderId="18" xfId="0" applyNumberFormat="1" applyFont="1" applyFill="1" applyBorder="1" applyAlignment="1">
      <alignment horizontal="right"/>
    </xf>
    <xf numFmtId="185" fontId="86" fillId="0" borderId="0" xfId="0" applyNumberFormat="1" applyFont="1" applyFill="1" applyBorder="1" applyAlignment="1">
      <alignment/>
    </xf>
    <xf numFmtId="0" fontId="44" fillId="52" borderId="18" xfId="109" applyFont="1" applyFill="1" applyBorder="1" applyAlignment="1">
      <alignment vertical="center" wrapText="1"/>
      <protection/>
    </xf>
    <xf numFmtId="176" fontId="48" fillId="47" borderId="21" xfId="109" applyNumberFormat="1" applyFont="1" applyFill="1" applyBorder="1" applyAlignment="1">
      <alignment horizontal="right" vertical="center" indent="1"/>
      <protection/>
    </xf>
    <xf numFmtId="0" fontId="86" fillId="0" borderId="0" xfId="0" applyFont="1" applyFill="1" applyBorder="1" applyAlignment="1">
      <alignment vertical="center" wrapText="1"/>
    </xf>
    <xf numFmtId="2" fontId="48" fillId="0" borderId="18" xfId="0" applyNumberFormat="1" applyFont="1" applyFill="1" applyBorder="1" applyAlignment="1">
      <alignment horizontal="right"/>
    </xf>
    <xf numFmtId="207" fontId="48" fillId="0" borderId="18" xfId="0" applyNumberFormat="1" applyFont="1" applyFill="1" applyBorder="1" applyAlignment="1">
      <alignment horizontal="right"/>
    </xf>
    <xf numFmtId="0" fontId="44" fillId="0" borderId="0" xfId="109" applyFont="1" applyFill="1" applyAlignment="1">
      <alignment horizontal="left" wrapText="1"/>
      <protection/>
    </xf>
    <xf numFmtId="0" fontId="48" fillId="0" borderId="0" xfId="0" applyFont="1" applyFill="1" applyBorder="1" applyAlignment="1">
      <alignment horizontal="left" vertical="top" wrapText="1"/>
    </xf>
    <xf numFmtId="0" fontId="86" fillId="47" borderId="0" xfId="0" applyFont="1" applyFill="1" applyBorder="1" applyAlignment="1">
      <alignment horizontal="left" vertical="top" wrapText="1"/>
    </xf>
    <xf numFmtId="0" fontId="86" fillId="0" borderId="0" xfId="0" applyFont="1" applyFill="1" applyBorder="1" applyAlignment="1">
      <alignment horizontal="left" vertical="top" wrapText="1"/>
    </xf>
    <xf numFmtId="0" fontId="86" fillId="51" borderId="0" xfId="0" applyFont="1" applyFill="1" applyBorder="1" applyAlignment="1">
      <alignment horizontal="center" vertical="center" wrapText="1"/>
    </xf>
    <xf numFmtId="0" fontId="86" fillId="51" borderId="25" xfId="0" applyFont="1" applyFill="1" applyBorder="1" applyAlignment="1">
      <alignment horizontal="center" vertical="center" wrapText="1"/>
    </xf>
    <xf numFmtId="0" fontId="87" fillId="51" borderId="21" xfId="0" applyFont="1" applyFill="1" applyBorder="1" applyAlignment="1">
      <alignment horizontal="center" vertical="center" wrapText="1"/>
    </xf>
    <xf numFmtId="0" fontId="44" fillId="0" borderId="18" xfId="109" applyFont="1" applyFill="1" applyBorder="1" applyAlignment="1">
      <alignment vertical="center" wrapText="1"/>
      <protection/>
    </xf>
    <xf numFmtId="0" fontId="78" fillId="0" borderId="18" xfId="109" applyFont="1" applyFill="1" applyBorder="1" applyAlignment="1">
      <alignment vertical="center" wrapText="1"/>
      <protection/>
    </xf>
    <xf numFmtId="0" fontId="78" fillId="0" borderId="17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/>
      <protection/>
    </xf>
    <xf numFmtId="0" fontId="44" fillId="47" borderId="18" xfId="109" applyFont="1" applyFill="1" applyBorder="1" applyAlignment="1">
      <alignment vertical="center" wrapText="1"/>
      <protection/>
    </xf>
    <xf numFmtId="0" fontId="50" fillId="0" borderId="0" xfId="109" applyFont="1" applyFill="1" applyBorder="1" applyAlignment="1">
      <alignment horizontal="center" wrapText="1"/>
      <protection/>
    </xf>
    <xf numFmtId="0" fontId="78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</cellXfs>
  <cellStyles count="1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y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y" xfId="108"/>
    <cellStyle name="Normalny 2" xfId="109"/>
    <cellStyle name="Normalny 3" xfId="110"/>
    <cellStyle name="Note" xfId="111"/>
    <cellStyle name="Obliczenia" xfId="112"/>
    <cellStyle name="Followed Hyperlink" xfId="113"/>
    <cellStyle name="Output" xfId="114"/>
    <cellStyle name="Percent" xfId="115"/>
    <cellStyle name="Procentowy 2" xfId="116"/>
    <cellStyle name="SAPBEXaggData" xfId="117"/>
    <cellStyle name="SAPBEXaggDataEmph" xfId="118"/>
    <cellStyle name="SAPBEXaggItem" xfId="119"/>
    <cellStyle name="SAPBEXaggItemX" xfId="120"/>
    <cellStyle name="SAPBEXchaText" xfId="121"/>
    <cellStyle name="SAPBEXexcBad7" xfId="122"/>
    <cellStyle name="SAPBEXexcBad8" xfId="123"/>
    <cellStyle name="SAPBEXexcBad9" xfId="124"/>
    <cellStyle name="SAPBEXexcCritical4" xfId="125"/>
    <cellStyle name="SAPBEXexcCritical5" xfId="126"/>
    <cellStyle name="SAPBEXexcCritical6" xfId="127"/>
    <cellStyle name="SAPBEXexcGood1" xfId="128"/>
    <cellStyle name="SAPBEXexcGood2" xfId="129"/>
    <cellStyle name="SAPBEXexcGood3" xfId="130"/>
    <cellStyle name="SAPBEXfilterDrill" xfId="131"/>
    <cellStyle name="SAPBEXfilterItem" xfId="132"/>
    <cellStyle name="SAPBEXfilterText" xfId="133"/>
    <cellStyle name="SAPBEXformats" xfId="134"/>
    <cellStyle name="SAPBEXheaderItem" xfId="135"/>
    <cellStyle name="SAPBEXheaderText" xfId="136"/>
    <cellStyle name="SAPBEXHLevel0" xfId="137"/>
    <cellStyle name="SAPBEXHLevel0X" xfId="138"/>
    <cellStyle name="SAPBEXHLevel1" xfId="139"/>
    <cellStyle name="SAPBEXHLevel1X" xfId="140"/>
    <cellStyle name="SAPBEXHLevel2" xfId="141"/>
    <cellStyle name="SAPBEXHLevel2X" xfId="142"/>
    <cellStyle name="SAPBEXHLevel3" xfId="143"/>
    <cellStyle name="SAPBEXHLevel3X" xfId="144"/>
    <cellStyle name="SAPBEXinputData" xfId="145"/>
    <cellStyle name="SAPBEXresData" xfId="146"/>
    <cellStyle name="SAPBEXresDataEmph" xfId="147"/>
    <cellStyle name="SAPBEXresItem" xfId="148"/>
    <cellStyle name="SAPBEXresItemX" xfId="149"/>
    <cellStyle name="SAPBEXstdData" xfId="150"/>
    <cellStyle name="SAPBEXstdDataEmph" xfId="151"/>
    <cellStyle name="SAPBEXstdItem" xfId="152"/>
    <cellStyle name="SAPBEXstdItemX" xfId="153"/>
    <cellStyle name="SAPBEXtitle" xfId="154"/>
    <cellStyle name="SAPBEXundefined" xfId="155"/>
    <cellStyle name="Sheet Title" xfId="156"/>
    <cellStyle name="Suma" xfId="157"/>
    <cellStyle name="Tekst objaśnienia" xfId="158"/>
    <cellStyle name="Tekst ostrzeżenia" xfId="159"/>
    <cellStyle name="Title" xfId="160"/>
    <cellStyle name="Total" xfId="161"/>
    <cellStyle name="Tytuł" xfId="162"/>
    <cellStyle name="Uwaga" xfId="163"/>
    <cellStyle name="Currency" xfId="164"/>
    <cellStyle name="Currency [0]" xfId="165"/>
    <cellStyle name="Warning Text" xfId="166"/>
    <cellStyle name="Zły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showGridLines="0" zoomScale="130" zoomScaleNormal="130" zoomScalePageLayoutView="0" workbookViewId="0" topLeftCell="A1">
      <pane xSplit="1" ySplit="1" topLeftCell="AE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L19" sqref="AL19"/>
    </sheetView>
  </sheetViews>
  <sheetFormatPr defaultColWidth="9.28125" defaultRowHeight="12.75" customHeight="1"/>
  <cols>
    <col min="1" max="1" width="40.00390625" style="382" customWidth="1"/>
    <col min="2" max="2" width="8.00390625" style="382" customWidth="1"/>
    <col min="3" max="3" width="0.9921875" style="382" customWidth="1"/>
    <col min="4" max="9" width="8.00390625" style="382" customWidth="1"/>
    <col min="10" max="10" width="0.9921875" style="382" customWidth="1"/>
    <col min="11" max="16" width="8.00390625" style="382" customWidth="1"/>
    <col min="17" max="17" width="0.9921875" style="382" customWidth="1"/>
    <col min="18" max="23" width="8.00390625" style="382" customWidth="1"/>
    <col min="24" max="24" width="0.9921875" style="382" customWidth="1"/>
    <col min="25" max="28" width="8.00390625" style="382" customWidth="1"/>
    <col min="29" max="29" width="9.28125" style="382" customWidth="1"/>
    <col min="30" max="30" width="8.421875" style="382" customWidth="1"/>
    <col min="31" max="31" width="8.00390625" style="382" customWidth="1"/>
    <col min="32" max="33" width="8.28125" style="382" customWidth="1"/>
    <col min="34" max="36" width="8.57421875" style="382" customWidth="1"/>
    <col min="37" max="16384" width="9.28125" style="382" customWidth="1"/>
  </cols>
  <sheetData>
    <row r="1" spans="1:36" s="376" customFormat="1" ht="36.75" customHeight="1">
      <c r="A1" s="376" t="s">
        <v>175</v>
      </c>
      <c r="B1" s="377">
        <v>2015</v>
      </c>
      <c r="C1" s="377"/>
      <c r="D1" s="378" t="s">
        <v>11</v>
      </c>
      <c r="E1" s="378" t="s">
        <v>12</v>
      </c>
      <c r="F1" s="378" t="s">
        <v>13</v>
      </c>
      <c r="G1" s="378" t="s">
        <v>14</v>
      </c>
      <c r="H1" s="378">
        <v>2016</v>
      </c>
      <c r="I1" s="377" t="s">
        <v>163</v>
      </c>
      <c r="J1" s="377"/>
      <c r="K1" s="378" t="s">
        <v>55</v>
      </c>
      <c r="L1" s="378" t="s">
        <v>56</v>
      </c>
      <c r="M1" s="378" t="s">
        <v>60</v>
      </c>
      <c r="N1" s="378" t="s">
        <v>61</v>
      </c>
      <c r="O1" s="378">
        <v>2017</v>
      </c>
      <c r="P1" s="377" t="s">
        <v>185</v>
      </c>
      <c r="Q1" s="377"/>
      <c r="R1" s="378" t="s">
        <v>186</v>
      </c>
      <c r="S1" s="378" t="s">
        <v>190</v>
      </c>
      <c r="T1" s="378" t="s">
        <v>195</v>
      </c>
      <c r="U1" s="378" t="s">
        <v>202</v>
      </c>
      <c r="V1" s="378">
        <v>2018</v>
      </c>
      <c r="W1" s="377" t="s">
        <v>217</v>
      </c>
      <c r="X1" s="377"/>
      <c r="Y1" s="377" t="s">
        <v>250</v>
      </c>
      <c r="Z1" s="377" t="s">
        <v>251</v>
      </c>
      <c r="AA1" s="377" t="s">
        <v>276</v>
      </c>
      <c r="AB1" s="377" t="s">
        <v>278</v>
      </c>
      <c r="AC1" s="377">
        <v>2019</v>
      </c>
      <c r="AD1" s="377" t="s">
        <v>280</v>
      </c>
      <c r="AE1" s="377" t="s">
        <v>283</v>
      </c>
      <c r="AF1" s="377" t="s">
        <v>290</v>
      </c>
      <c r="AG1" s="377" t="s">
        <v>294</v>
      </c>
      <c r="AH1" s="377" t="s">
        <v>297</v>
      </c>
      <c r="AI1" s="377">
        <v>2020</v>
      </c>
      <c r="AJ1" s="377" t="s">
        <v>298</v>
      </c>
    </row>
    <row r="2" spans="1:33" ht="15" customHeight="1">
      <c r="A2" s="379" t="s">
        <v>87</v>
      </c>
      <c r="B2" s="380"/>
      <c r="C2" s="381"/>
      <c r="D2" s="380"/>
      <c r="E2" s="380"/>
      <c r="F2" s="380"/>
      <c r="G2" s="380"/>
      <c r="H2" s="380"/>
      <c r="I2" s="380"/>
      <c r="J2" s="381"/>
      <c r="K2" s="380"/>
      <c r="L2" s="380"/>
      <c r="M2" s="380"/>
      <c r="N2" s="380"/>
      <c r="O2" s="380"/>
      <c r="P2" s="380"/>
      <c r="Q2" s="381"/>
      <c r="R2" s="380"/>
      <c r="S2" s="380"/>
      <c r="T2" s="380"/>
      <c r="U2" s="380"/>
      <c r="V2" s="380"/>
      <c r="W2" s="380"/>
      <c r="X2" s="381"/>
      <c r="Y2" s="380"/>
      <c r="Z2" s="380"/>
      <c r="AA2" s="380"/>
      <c r="AB2" s="380"/>
      <c r="AC2" s="380"/>
      <c r="AD2" s="380"/>
      <c r="AE2" s="380"/>
      <c r="AF2" s="380"/>
      <c r="AG2" s="380"/>
    </row>
    <row r="3" spans="1:38" ht="12.75" customHeight="1" thickBot="1">
      <c r="A3" s="383" t="s">
        <v>176</v>
      </c>
      <c r="B3" s="384">
        <v>574.3</v>
      </c>
      <c r="C3" s="385"/>
      <c r="D3" s="386">
        <v>128.1</v>
      </c>
      <c r="E3" s="384">
        <v>134.9</v>
      </c>
      <c r="F3" s="384">
        <v>137.7</v>
      </c>
      <c r="G3" s="384">
        <v>135</v>
      </c>
      <c r="H3" s="384">
        <v>535.6</v>
      </c>
      <c r="I3" s="387">
        <f aca="true" t="shared" si="0" ref="I3:I8">H3/B3-1</f>
        <v>-0.06738638342329784</v>
      </c>
      <c r="J3" s="388"/>
      <c r="K3" s="386">
        <v>130.6</v>
      </c>
      <c r="L3" s="384">
        <v>133.6</v>
      </c>
      <c r="M3" s="384">
        <v>135.6</v>
      </c>
      <c r="N3" s="384">
        <v>122.2</v>
      </c>
      <c r="O3" s="384">
        <v>522</v>
      </c>
      <c r="P3" s="387">
        <f aca="true" t="shared" si="1" ref="P3:P8">O3/H3-1</f>
        <v>-0.025392083644510843</v>
      </c>
      <c r="Q3" s="389"/>
      <c r="R3" s="386">
        <v>110.8</v>
      </c>
      <c r="S3" s="384">
        <v>116.7</v>
      </c>
      <c r="T3" s="384">
        <v>138.9</v>
      </c>
      <c r="U3" s="384">
        <v>135.4</v>
      </c>
      <c r="V3" s="384">
        <v>501.8</v>
      </c>
      <c r="W3" s="387">
        <f aca="true" t="shared" si="2" ref="W3:W8">V3/O3-1</f>
        <v>-0.03869731800766285</v>
      </c>
      <c r="X3" s="390"/>
      <c r="Y3" s="386">
        <v>141.7</v>
      </c>
      <c r="Z3" s="391">
        <v>144.9</v>
      </c>
      <c r="AA3" s="391">
        <v>141</v>
      </c>
      <c r="AB3" s="391">
        <v>138</v>
      </c>
      <c r="AC3" s="391">
        <v>565.6</v>
      </c>
      <c r="AD3" s="392">
        <f>AC3/V3-1</f>
        <v>0.12714228776404934</v>
      </c>
      <c r="AE3" s="391">
        <v>141</v>
      </c>
      <c r="AF3" s="391">
        <v>139.8</v>
      </c>
      <c r="AG3" s="391">
        <v>131.1</v>
      </c>
      <c r="AH3" s="393">
        <v>148.5</v>
      </c>
      <c r="AI3" s="393">
        <v>560.4</v>
      </c>
      <c r="AJ3" s="394">
        <f>AI3/AC3-1</f>
        <v>-0.009193776520509234</v>
      </c>
      <c r="AL3" s="476"/>
    </row>
    <row r="4" spans="1:38" ht="12.75" customHeight="1" thickBot="1">
      <c r="A4" s="383" t="s">
        <v>177</v>
      </c>
      <c r="B4" s="384">
        <v>263.7</v>
      </c>
      <c r="C4" s="395"/>
      <c r="D4" s="386">
        <v>66.7</v>
      </c>
      <c r="E4" s="384">
        <v>72.3</v>
      </c>
      <c r="F4" s="384">
        <v>73.3</v>
      </c>
      <c r="G4" s="384">
        <v>55.1</v>
      </c>
      <c r="H4" s="384">
        <v>267.4</v>
      </c>
      <c r="I4" s="387">
        <f t="shared" si="0"/>
        <v>0.014031095942358629</v>
      </c>
      <c r="J4" s="389"/>
      <c r="K4" s="386">
        <v>69.7</v>
      </c>
      <c r="L4" s="384">
        <v>67.3</v>
      </c>
      <c r="M4" s="384">
        <v>73.6</v>
      </c>
      <c r="N4" s="384">
        <v>47.3</v>
      </c>
      <c r="O4" s="384">
        <v>257.9</v>
      </c>
      <c r="P4" s="387">
        <f t="shared" si="1"/>
        <v>-0.035527299925205647</v>
      </c>
      <c r="Q4" s="389"/>
      <c r="R4" s="386">
        <v>66.2</v>
      </c>
      <c r="S4" s="384">
        <v>65.9</v>
      </c>
      <c r="T4" s="384">
        <v>72</v>
      </c>
      <c r="U4" s="384">
        <v>62.3</v>
      </c>
      <c r="V4" s="384">
        <v>266.4</v>
      </c>
      <c r="W4" s="387">
        <f t="shared" si="2"/>
        <v>0.032958511050794836</v>
      </c>
      <c r="X4" s="390"/>
      <c r="Y4" s="386">
        <v>67.6</v>
      </c>
      <c r="Z4" s="396">
        <v>68.2</v>
      </c>
      <c r="AA4" s="396">
        <v>74.3</v>
      </c>
      <c r="AB4" s="391">
        <v>56</v>
      </c>
      <c r="AC4" s="391">
        <v>266.1</v>
      </c>
      <c r="AD4" s="392">
        <f aca="true" t="shared" si="3" ref="AD4:AD16">AC4/V4-1</f>
        <v>-0.001126126126125948</v>
      </c>
      <c r="AE4" s="391">
        <v>70</v>
      </c>
      <c r="AF4" s="391">
        <v>61.2</v>
      </c>
      <c r="AG4" s="391">
        <v>65.4</v>
      </c>
      <c r="AH4" s="393">
        <v>62.9</v>
      </c>
      <c r="AI4" s="393">
        <v>259.5</v>
      </c>
      <c r="AJ4" s="394">
        <f>AI4/AC4-1</f>
        <v>-0.024802705749718212</v>
      </c>
      <c r="AL4" s="476"/>
    </row>
    <row r="5" spans="1:38" ht="12.75" customHeight="1" thickBot="1">
      <c r="A5" s="383" t="s">
        <v>178</v>
      </c>
      <c r="B5" s="384">
        <v>12.7</v>
      </c>
      <c r="C5" s="395"/>
      <c r="D5" s="386">
        <v>3.4</v>
      </c>
      <c r="E5" s="384">
        <v>2.8</v>
      </c>
      <c r="F5" s="384">
        <v>3.6</v>
      </c>
      <c r="G5" s="384">
        <v>3.1</v>
      </c>
      <c r="H5" s="384">
        <v>13</v>
      </c>
      <c r="I5" s="387">
        <f t="shared" si="0"/>
        <v>0.023622047244094446</v>
      </c>
      <c r="J5" s="389"/>
      <c r="K5" s="386">
        <v>4.3</v>
      </c>
      <c r="L5" s="384">
        <v>3.7</v>
      </c>
      <c r="M5" s="384">
        <v>4.1</v>
      </c>
      <c r="N5" s="384">
        <v>1.6</v>
      </c>
      <c r="O5" s="384">
        <v>13.7</v>
      </c>
      <c r="P5" s="387">
        <f t="shared" si="1"/>
        <v>0.05384615384615388</v>
      </c>
      <c r="Q5" s="389"/>
      <c r="R5" s="386">
        <v>3.9</v>
      </c>
      <c r="S5" s="384">
        <v>4.3</v>
      </c>
      <c r="T5" s="384">
        <v>3.9</v>
      </c>
      <c r="U5" s="384">
        <v>3.7</v>
      </c>
      <c r="V5" s="384">
        <v>15.8</v>
      </c>
      <c r="W5" s="387">
        <f t="shared" si="2"/>
        <v>0.15328467153284686</v>
      </c>
      <c r="X5" s="390"/>
      <c r="Y5" s="386">
        <v>4</v>
      </c>
      <c r="Z5" s="396">
        <v>2.8</v>
      </c>
      <c r="AA5" s="396">
        <v>4.4</v>
      </c>
      <c r="AB5" s="391">
        <v>3.7</v>
      </c>
      <c r="AC5" s="391">
        <v>14.9</v>
      </c>
      <c r="AD5" s="392">
        <f t="shared" si="3"/>
        <v>-0.05696202531645567</v>
      </c>
      <c r="AE5" s="391">
        <v>0</v>
      </c>
      <c r="AF5" s="391">
        <v>0</v>
      </c>
      <c r="AG5" s="391">
        <v>0</v>
      </c>
      <c r="AH5" s="393" t="s">
        <v>310</v>
      </c>
      <c r="AI5" s="393" t="s">
        <v>310</v>
      </c>
      <c r="AJ5" s="397" t="s">
        <v>34</v>
      </c>
      <c r="AL5" s="476"/>
    </row>
    <row r="6" spans="1:38" ht="12.75" customHeight="1" thickBot="1">
      <c r="A6" s="383" t="s">
        <v>166</v>
      </c>
      <c r="B6" s="398">
        <v>1283</v>
      </c>
      <c r="C6" s="395"/>
      <c r="D6" s="386">
        <v>295</v>
      </c>
      <c r="E6" s="384">
        <v>272</v>
      </c>
      <c r="F6" s="384">
        <v>321</v>
      </c>
      <c r="G6" s="384">
        <v>303</v>
      </c>
      <c r="H6" s="398">
        <v>1191</v>
      </c>
      <c r="I6" s="387">
        <f t="shared" si="0"/>
        <v>-0.07170693686671858</v>
      </c>
      <c r="J6" s="389"/>
      <c r="K6" s="386">
        <v>293.5</v>
      </c>
      <c r="L6" s="384">
        <v>298.4</v>
      </c>
      <c r="M6" s="384">
        <v>323.8</v>
      </c>
      <c r="N6" s="384">
        <v>302.5</v>
      </c>
      <c r="O6" s="398">
        <v>1218.2</v>
      </c>
      <c r="P6" s="387">
        <f t="shared" si="1"/>
        <v>0.022837951301427406</v>
      </c>
      <c r="Q6" s="389"/>
      <c r="R6" s="386">
        <v>239.3</v>
      </c>
      <c r="S6" s="384">
        <v>239.1</v>
      </c>
      <c r="T6" s="384">
        <v>357.8</v>
      </c>
      <c r="U6" s="384">
        <v>352.6</v>
      </c>
      <c r="V6" s="398">
        <v>1188.8</v>
      </c>
      <c r="W6" s="387">
        <f t="shared" si="2"/>
        <v>-0.024133968149729235</v>
      </c>
      <c r="X6" s="390"/>
      <c r="Y6" s="386">
        <v>321</v>
      </c>
      <c r="Z6" s="396">
        <v>383.6</v>
      </c>
      <c r="AA6" s="396">
        <v>313.3</v>
      </c>
      <c r="AB6" s="391">
        <v>382.3</v>
      </c>
      <c r="AC6" s="399">
        <v>1400.2</v>
      </c>
      <c r="AD6" s="392">
        <f t="shared" si="3"/>
        <v>0.17782637954239577</v>
      </c>
      <c r="AE6" s="399">
        <v>329.2</v>
      </c>
      <c r="AF6" s="399">
        <v>365.9</v>
      </c>
      <c r="AG6" s="399">
        <v>280.4</v>
      </c>
      <c r="AH6" s="400">
        <v>347.5</v>
      </c>
      <c r="AI6" s="401">
        <v>1322.9</v>
      </c>
      <c r="AJ6" s="394">
        <f>AI6/AC6-1</f>
        <v>-0.05520639908584479</v>
      </c>
      <c r="AL6" s="476"/>
    </row>
    <row r="7" spans="1:38" ht="12.75" customHeight="1" thickBot="1">
      <c r="A7" s="383" t="s">
        <v>179</v>
      </c>
      <c r="B7" s="384">
        <v>86.9</v>
      </c>
      <c r="C7" s="395"/>
      <c r="D7" s="386">
        <v>26.2</v>
      </c>
      <c r="E7" s="384">
        <v>27.3</v>
      </c>
      <c r="F7" s="384">
        <v>30.7</v>
      </c>
      <c r="G7" s="384">
        <v>29.6</v>
      </c>
      <c r="H7" s="384">
        <v>113.8</v>
      </c>
      <c r="I7" s="387">
        <f t="shared" si="0"/>
        <v>0.3095512082853853</v>
      </c>
      <c r="J7" s="389"/>
      <c r="K7" s="386">
        <v>33.5</v>
      </c>
      <c r="L7" s="384">
        <v>21.9</v>
      </c>
      <c r="M7" s="384">
        <v>31.3</v>
      </c>
      <c r="N7" s="384">
        <v>30.64</v>
      </c>
      <c r="O7" s="384">
        <v>117.3</v>
      </c>
      <c r="P7" s="387">
        <f t="shared" si="1"/>
        <v>0.03075571177504388</v>
      </c>
      <c r="Q7" s="389"/>
      <c r="R7" s="386">
        <v>18.3</v>
      </c>
      <c r="S7" s="384">
        <v>20.1</v>
      </c>
      <c r="T7" s="384">
        <v>23.7</v>
      </c>
      <c r="U7" s="384">
        <v>21.2</v>
      </c>
      <c r="V7" s="384">
        <v>83.2</v>
      </c>
      <c r="W7" s="387">
        <f t="shared" si="2"/>
        <v>-0.29070758738277913</v>
      </c>
      <c r="X7" s="390"/>
      <c r="Y7" s="386">
        <v>19.8</v>
      </c>
      <c r="Z7" s="396">
        <v>30.8</v>
      </c>
      <c r="AA7" s="396">
        <v>20.8</v>
      </c>
      <c r="AB7" s="391">
        <v>32.3</v>
      </c>
      <c r="AC7" s="391">
        <v>103.7</v>
      </c>
      <c r="AD7" s="392">
        <f t="shared" si="3"/>
        <v>0.24639423076923084</v>
      </c>
      <c r="AE7" s="391">
        <v>25.2</v>
      </c>
      <c r="AF7" s="391">
        <v>20.4</v>
      </c>
      <c r="AG7" s="391">
        <v>21.5</v>
      </c>
      <c r="AH7" s="393">
        <v>29.7</v>
      </c>
      <c r="AI7" s="393">
        <v>96.8</v>
      </c>
      <c r="AJ7" s="394">
        <f>AI7/AC7-1</f>
        <v>-0.0665380906460945</v>
      </c>
      <c r="AL7" s="476"/>
    </row>
    <row r="8" spans="1:38" ht="12.75" customHeight="1" thickBot="1">
      <c r="A8" s="383" t="s">
        <v>168</v>
      </c>
      <c r="B8" s="384">
        <v>29.3</v>
      </c>
      <c r="C8" s="395"/>
      <c r="D8" s="386">
        <v>8</v>
      </c>
      <c r="E8" s="384">
        <v>7.8</v>
      </c>
      <c r="F8" s="384">
        <v>6.3</v>
      </c>
      <c r="G8" s="384">
        <v>8</v>
      </c>
      <c r="H8" s="384">
        <v>30.1</v>
      </c>
      <c r="I8" s="387">
        <f t="shared" si="0"/>
        <v>0.027303754266211566</v>
      </c>
      <c r="J8" s="389"/>
      <c r="K8" s="386">
        <v>7.8</v>
      </c>
      <c r="L8" s="384">
        <v>7.7</v>
      </c>
      <c r="M8" s="384">
        <v>6.3</v>
      </c>
      <c r="N8" s="384">
        <v>8.2</v>
      </c>
      <c r="O8" s="384">
        <v>30</v>
      </c>
      <c r="P8" s="387">
        <f t="shared" si="1"/>
        <v>-0.0033222591362126463</v>
      </c>
      <c r="Q8" s="389"/>
      <c r="R8" s="386">
        <v>7.5</v>
      </c>
      <c r="S8" s="384">
        <v>7.6</v>
      </c>
      <c r="T8" s="384">
        <v>6.9</v>
      </c>
      <c r="U8" s="384">
        <v>8.2</v>
      </c>
      <c r="V8" s="384">
        <v>30.1</v>
      </c>
      <c r="W8" s="387">
        <f t="shared" si="2"/>
        <v>0.0033333333333334103</v>
      </c>
      <c r="X8" s="390"/>
      <c r="Y8" s="386">
        <v>7.6</v>
      </c>
      <c r="Z8" s="396">
        <v>7.8</v>
      </c>
      <c r="AA8" s="396">
        <v>6.7</v>
      </c>
      <c r="AB8" s="391">
        <v>8</v>
      </c>
      <c r="AC8" s="391">
        <v>30.1</v>
      </c>
      <c r="AD8" s="392">
        <f t="shared" si="3"/>
        <v>0</v>
      </c>
      <c r="AE8" s="391">
        <v>7.9</v>
      </c>
      <c r="AF8" s="391">
        <v>7.9</v>
      </c>
      <c r="AG8" s="391">
        <v>6.4</v>
      </c>
      <c r="AH8" s="393">
        <v>8</v>
      </c>
      <c r="AI8" s="393">
        <v>30.2</v>
      </c>
      <c r="AJ8" s="394">
        <f>AI8/AC8-1</f>
        <v>0.0033222591362125353</v>
      </c>
      <c r="AL8" s="476"/>
    </row>
    <row r="9" spans="1:38" ht="15" customHeight="1" thickBot="1">
      <c r="A9" s="379" t="s">
        <v>169</v>
      </c>
      <c r="B9" s="402"/>
      <c r="C9" s="395"/>
      <c r="D9" s="402"/>
      <c r="E9" s="402"/>
      <c r="F9" s="402"/>
      <c r="G9" s="402"/>
      <c r="H9" s="403"/>
      <c r="I9" s="402"/>
      <c r="J9" s="402"/>
      <c r="K9" s="402"/>
      <c r="L9" s="402"/>
      <c r="M9" s="402"/>
      <c r="N9" s="402"/>
      <c r="O9" s="403"/>
      <c r="P9" s="388"/>
      <c r="Q9" s="389"/>
      <c r="R9" s="402"/>
      <c r="S9" s="402"/>
      <c r="T9" s="402"/>
      <c r="U9" s="402"/>
      <c r="V9" s="402"/>
      <c r="W9" s="390"/>
      <c r="X9" s="390"/>
      <c r="Y9" s="402"/>
      <c r="Z9" s="402"/>
      <c r="AA9" s="402"/>
      <c r="AB9" s="402"/>
      <c r="AC9" s="402"/>
      <c r="AD9" s="380"/>
      <c r="AE9" s="402"/>
      <c r="AF9" s="380"/>
      <c r="AG9" s="380"/>
      <c r="AH9" s="404"/>
      <c r="AI9" s="404"/>
      <c r="AJ9" s="380"/>
      <c r="AL9" s="476"/>
    </row>
    <row r="10" spans="1:38" ht="12.75" customHeight="1" thickBot="1">
      <c r="A10" s="383" t="s">
        <v>170</v>
      </c>
      <c r="B10" s="405">
        <v>97.6</v>
      </c>
      <c r="C10" s="395"/>
      <c r="D10" s="386">
        <v>23.7</v>
      </c>
      <c r="E10" s="405">
        <v>23.1</v>
      </c>
      <c r="F10" s="405">
        <v>22.1</v>
      </c>
      <c r="G10" s="405">
        <v>20.9</v>
      </c>
      <c r="H10" s="405">
        <v>89.8</v>
      </c>
      <c r="I10" s="406">
        <f>H10/B10-1</f>
        <v>-0.07991803278688525</v>
      </c>
      <c r="J10" s="407"/>
      <c r="K10" s="386">
        <v>17.2</v>
      </c>
      <c r="L10" s="405">
        <v>21.5</v>
      </c>
      <c r="M10" s="405">
        <v>21.9</v>
      </c>
      <c r="N10" s="405">
        <v>20.4</v>
      </c>
      <c r="O10" s="405">
        <v>81</v>
      </c>
      <c r="P10" s="406">
        <f>O10/H10-1</f>
        <v>-0.09799554565701551</v>
      </c>
      <c r="Q10" s="389"/>
      <c r="R10" s="386">
        <v>20.1</v>
      </c>
      <c r="S10" s="405">
        <v>22.5</v>
      </c>
      <c r="T10" s="405">
        <v>18.2</v>
      </c>
      <c r="U10" s="405">
        <v>18</v>
      </c>
      <c r="V10" s="405">
        <v>78.8</v>
      </c>
      <c r="W10" s="406">
        <f>V10/O10-1</f>
        <v>-0.02716049382716057</v>
      </c>
      <c r="X10" s="390"/>
      <c r="Y10" s="386">
        <v>16.3</v>
      </c>
      <c r="Z10" s="391">
        <v>19.7</v>
      </c>
      <c r="AA10" s="391">
        <v>21.5</v>
      </c>
      <c r="AB10" s="391">
        <v>19</v>
      </c>
      <c r="AC10" s="391">
        <v>76.5</v>
      </c>
      <c r="AD10" s="392">
        <f t="shared" si="3"/>
        <v>-0.029187817258883197</v>
      </c>
      <c r="AE10" s="391">
        <v>14.1</v>
      </c>
      <c r="AF10" s="391">
        <v>16.6</v>
      </c>
      <c r="AG10" s="399">
        <v>18.5</v>
      </c>
      <c r="AH10" s="393">
        <v>17.7</v>
      </c>
      <c r="AI10" s="393">
        <v>66.9</v>
      </c>
      <c r="AJ10" s="394">
        <f>AI10/AC10-1</f>
        <v>-0.12549019607843126</v>
      </c>
      <c r="AK10" s="408"/>
      <c r="AL10" s="476"/>
    </row>
    <row r="11" spans="1:38" ht="12.75" customHeight="1" thickBot="1">
      <c r="A11" s="383" t="s">
        <v>171</v>
      </c>
      <c r="B11" s="384">
        <v>2.2</v>
      </c>
      <c r="C11" s="395"/>
      <c r="D11" s="386">
        <v>0.5</v>
      </c>
      <c r="E11" s="384">
        <v>0.6</v>
      </c>
      <c r="F11" s="384">
        <v>0.5</v>
      </c>
      <c r="G11" s="384">
        <v>0.5</v>
      </c>
      <c r="H11" s="384">
        <v>2.1</v>
      </c>
      <c r="I11" s="387">
        <f>H11/B11-1</f>
        <v>-0.045454545454545525</v>
      </c>
      <c r="J11" s="407"/>
      <c r="K11" s="386">
        <v>0.3</v>
      </c>
      <c r="L11" s="384">
        <v>0.3</v>
      </c>
      <c r="M11" s="384">
        <v>0.3</v>
      </c>
      <c r="N11" s="384">
        <v>0.2</v>
      </c>
      <c r="O11" s="384">
        <v>1.1</v>
      </c>
      <c r="P11" s="387">
        <f>O11/H11-1</f>
        <v>-0.47619047619047616</v>
      </c>
      <c r="Q11" s="389"/>
      <c r="R11" s="386">
        <v>0.2</v>
      </c>
      <c r="S11" s="384">
        <v>0.2</v>
      </c>
      <c r="T11" s="384">
        <v>0.3</v>
      </c>
      <c r="U11" s="384">
        <v>0.2</v>
      </c>
      <c r="V11" s="384">
        <v>0.9</v>
      </c>
      <c r="W11" s="387">
        <f>V11/O11-1</f>
        <v>-0.18181818181818188</v>
      </c>
      <c r="X11" s="390"/>
      <c r="Y11" s="386">
        <v>0.3</v>
      </c>
      <c r="Z11" s="396">
        <v>0.1</v>
      </c>
      <c r="AA11" s="396">
        <v>0.1</v>
      </c>
      <c r="AB11" s="396">
        <v>0.2</v>
      </c>
      <c r="AC11" s="396">
        <v>0.7</v>
      </c>
      <c r="AD11" s="392">
        <f t="shared" si="3"/>
        <v>-0.22222222222222232</v>
      </c>
      <c r="AE11" s="396">
        <v>0.1</v>
      </c>
      <c r="AF11" s="396">
        <v>0.1</v>
      </c>
      <c r="AG11" s="391">
        <v>0.1</v>
      </c>
      <c r="AH11" s="393">
        <v>0.1</v>
      </c>
      <c r="AI11" s="393">
        <v>0.4</v>
      </c>
      <c r="AJ11" s="394">
        <f>AI11/AC11-1</f>
        <v>-0.4285714285714285</v>
      </c>
      <c r="AL11" s="476"/>
    </row>
    <row r="12" spans="1:38" ht="12.75" customHeight="1" thickBot="1">
      <c r="A12" s="383" t="s">
        <v>172</v>
      </c>
      <c r="B12" s="384">
        <v>95.3</v>
      </c>
      <c r="C12" s="395"/>
      <c r="D12" s="386">
        <v>22.4</v>
      </c>
      <c r="E12" s="384">
        <v>24.5</v>
      </c>
      <c r="F12" s="384">
        <v>24.6</v>
      </c>
      <c r="G12" s="384">
        <v>20.6</v>
      </c>
      <c r="H12" s="384">
        <v>92.1</v>
      </c>
      <c r="I12" s="387">
        <f>H12/B12-1</f>
        <v>-0.033578174186778664</v>
      </c>
      <c r="J12" s="407"/>
      <c r="K12" s="386">
        <v>14.5</v>
      </c>
      <c r="L12" s="384">
        <v>21.3</v>
      </c>
      <c r="M12" s="384">
        <v>19.4</v>
      </c>
      <c r="N12" s="384">
        <v>18.8</v>
      </c>
      <c r="O12" s="384">
        <v>74</v>
      </c>
      <c r="P12" s="387">
        <f>O12/H12-1</f>
        <v>-0.19652551574375676</v>
      </c>
      <c r="Q12" s="389"/>
      <c r="R12" s="386">
        <v>15.8</v>
      </c>
      <c r="S12" s="384">
        <v>18.8</v>
      </c>
      <c r="T12" s="384">
        <v>16.7</v>
      </c>
      <c r="U12" s="384">
        <v>16.3</v>
      </c>
      <c r="V12" s="384">
        <v>67.6</v>
      </c>
      <c r="W12" s="387">
        <f>V12/O12-1</f>
        <v>-0.0864864864864866</v>
      </c>
      <c r="X12" s="390"/>
      <c r="Y12" s="386">
        <v>17.9</v>
      </c>
      <c r="Z12" s="396">
        <v>21</v>
      </c>
      <c r="AA12" s="396">
        <v>24</v>
      </c>
      <c r="AB12" s="396">
        <v>22.3</v>
      </c>
      <c r="AC12" s="396">
        <v>85.2</v>
      </c>
      <c r="AD12" s="392">
        <f t="shared" si="3"/>
        <v>0.26035502958579904</v>
      </c>
      <c r="AE12" s="396">
        <v>17.8</v>
      </c>
      <c r="AF12" s="396">
        <v>20.4</v>
      </c>
      <c r="AG12" s="391">
        <v>16.2</v>
      </c>
      <c r="AH12" s="393">
        <v>11.7</v>
      </c>
      <c r="AI12" s="393">
        <v>66.1</v>
      </c>
      <c r="AJ12" s="394">
        <f>AI12/AC12-1</f>
        <v>-0.22417840375586862</v>
      </c>
      <c r="AL12" s="476"/>
    </row>
    <row r="13" spans="1:38" ht="15" customHeight="1" thickBot="1">
      <c r="A13" s="379" t="s">
        <v>180</v>
      </c>
      <c r="B13" s="402"/>
      <c r="C13" s="403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388"/>
      <c r="Q13" s="389"/>
      <c r="R13" s="402"/>
      <c r="S13" s="402"/>
      <c r="T13" s="402"/>
      <c r="U13" s="402"/>
      <c r="V13" s="402"/>
      <c r="W13" s="390"/>
      <c r="X13" s="390"/>
      <c r="Y13" s="402"/>
      <c r="Z13" s="402"/>
      <c r="AA13" s="402"/>
      <c r="AB13" s="409"/>
      <c r="AC13" s="409"/>
      <c r="AD13" s="380"/>
      <c r="AE13" s="409"/>
      <c r="AF13" s="380"/>
      <c r="AG13" s="380"/>
      <c r="AH13" s="404"/>
      <c r="AI13" s="404"/>
      <c r="AJ13" s="380"/>
      <c r="AL13" s="476"/>
    </row>
    <row r="14" spans="1:38" ht="12.75" customHeight="1" thickBot="1">
      <c r="A14" s="383" t="s">
        <v>170</v>
      </c>
      <c r="B14" s="405">
        <v>46.3</v>
      </c>
      <c r="C14" s="395"/>
      <c r="D14" s="386">
        <v>14.5</v>
      </c>
      <c r="E14" s="405">
        <v>12.1</v>
      </c>
      <c r="F14" s="405">
        <v>11.3</v>
      </c>
      <c r="G14" s="405">
        <v>13.6</v>
      </c>
      <c r="H14" s="405">
        <v>51.5</v>
      </c>
      <c r="I14" s="406">
        <f>H14/B14-1</f>
        <v>0.11231101511879049</v>
      </c>
      <c r="J14" s="407"/>
      <c r="K14" s="386">
        <v>14</v>
      </c>
      <c r="L14" s="405">
        <v>13.2</v>
      </c>
      <c r="M14" s="405">
        <v>12.8</v>
      </c>
      <c r="N14" s="405">
        <v>13.4</v>
      </c>
      <c r="O14" s="405">
        <v>53.4</v>
      </c>
      <c r="P14" s="406">
        <f>O14/H14-1</f>
        <v>0.03689320388349504</v>
      </c>
      <c r="Q14" s="389"/>
      <c r="R14" s="386">
        <v>12</v>
      </c>
      <c r="S14" s="405">
        <v>12.5</v>
      </c>
      <c r="T14" s="405">
        <v>13.6</v>
      </c>
      <c r="U14" s="405">
        <v>15.2</v>
      </c>
      <c r="V14" s="405">
        <v>53.3</v>
      </c>
      <c r="W14" s="410">
        <f>V14/O14-1</f>
        <v>-0.0018726591760299671</v>
      </c>
      <c r="X14" s="390"/>
      <c r="Y14" s="386">
        <v>14.7</v>
      </c>
      <c r="Z14" s="391">
        <v>14.5</v>
      </c>
      <c r="AA14" s="391">
        <v>15.2</v>
      </c>
      <c r="AB14" s="391">
        <v>15.1</v>
      </c>
      <c r="AC14" s="391">
        <v>59.5</v>
      </c>
      <c r="AD14" s="392">
        <f t="shared" si="3"/>
        <v>0.1163227016885553</v>
      </c>
      <c r="AE14" s="391">
        <v>19</v>
      </c>
      <c r="AF14" s="391">
        <v>20.2</v>
      </c>
      <c r="AG14" s="399">
        <v>20.7</v>
      </c>
      <c r="AH14" s="393">
        <v>21.9</v>
      </c>
      <c r="AI14" s="393">
        <v>81.8</v>
      </c>
      <c r="AJ14" s="394">
        <f>AI14/AC14-1</f>
        <v>0.37478991596638656</v>
      </c>
      <c r="AL14" s="476"/>
    </row>
    <row r="15" spans="1:38" ht="12.75" customHeight="1" thickBot="1">
      <c r="A15" s="383" t="s">
        <v>181</v>
      </c>
      <c r="B15" s="384">
        <v>8.1</v>
      </c>
      <c r="C15" s="395"/>
      <c r="D15" s="386">
        <v>4.9</v>
      </c>
      <c r="E15" s="384">
        <v>2</v>
      </c>
      <c r="F15" s="384">
        <v>2.5</v>
      </c>
      <c r="G15" s="384">
        <v>2.9</v>
      </c>
      <c r="H15" s="384">
        <v>12.2</v>
      </c>
      <c r="I15" s="387">
        <f>H15/B15-1</f>
        <v>0.5061728395061729</v>
      </c>
      <c r="J15" s="407"/>
      <c r="K15" s="386">
        <v>4.8</v>
      </c>
      <c r="L15" s="384">
        <v>8.2</v>
      </c>
      <c r="M15" s="384">
        <v>3.4</v>
      </c>
      <c r="N15" s="384">
        <v>3.3</v>
      </c>
      <c r="O15" s="384">
        <v>19.7</v>
      </c>
      <c r="P15" s="387">
        <f>O15/H15-1</f>
        <v>0.6147540983606559</v>
      </c>
      <c r="Q15" s="389"/>
      <c r="R15" s="386">
        <v>4</v>
      </c>
      <c r="S15" s="384">
        <v>3.7</v>
      </c>
      <c r="T15" s="384">
        <v>3</v>
      </c>
      <c r="U15" s="384">
        <v>4</v>
      </c>
      <c r="V15" s="384">
        <v>14.7</v>
      </c>
      <c r="W15" s="387">
        <f>V15/O15-1</f>
        <v>-0.25380710659898476</v>
      </c>
      <c r="X15" s="390"/>
      <c r="Y15" s="386">
        <v>3</v>
      </c>
      <c r="Z15" s="396">
        <v>2.7</v>
      </c>
      <c r="AA15" s="396">
        <v>2.5</v>
      </c>
      <c r="AB15" s="396">
        <v>3</v>
      </c>
      <c r="AC15" s="396">
        <v>11.2</v>
      </c>
      <c r="AD15" s="392">
        <f t="shared" si="3"/>
        <v>-0.23809523809523814</v>
      </c>
      <c r="AE15" s="396">
        <v>1.6</v>
      </c>
      <c r="AF15" s="396">
        <v>3.4</v>
      </c>
      <c r="AG15" s="391">
        <v>1.9</v>
      </c>
      <c r="AH15" s="393">
        <v>2.1</v>
      </c>
      <c r="AI15" s="393">
        <v>9</v>
      </c>
      <c r="AJ15" s="394">
        <f>AI15/AC15-1</f>
        <v>-0.1964285714285714</v>
      </c>
      <c r="AL15" s="476"/>
    </row>
    <row r="16" spans="1:38" ht="12.75" customHeight="1" thickBot="1">
      <c r="A16" s="383" t="s">
        <v>182</v>
      </c>
      <c r="B16" s="384">
        <v>22.8</v>
      </c>
      <c r="C16" s="395"/>
      <c r="D16" s="386">
        <v>7.1</v>
      </c>
      <c r="E16" s="384">
        <v>4.2</v>
      </c>
      <c r="F16" s="384">
        <v>4</v>
      </c>
      <c r="G16" s="384">
        <v>7.5</v>
      </c>
      <c r="H16" s="384">
        <v>22.9</v>
      </c>
      <c r="I16" s="387">
        <f>H16/B16-1</f>
        <v>0.004385964912280604</v>
      </c>
      <c r="J16" s="407"/>
      <c r="K16" s="386">
        <v>6.3</v>
      </c>
      <c r="L16" s="384">
        <v>7.2</v>
      </c>
      <c r="M16" s="384">
        <v>8.4</v>
      </c>
      <c r="N16" s="384">
        <v>6.1</v>
      </c>
      <c r="O16" s="384">
        <v>28</v>
      </c>
      <c r="P16" s="387">
        <f>O16/H16-1</f>
        <v>0.2227074235807862</v>
      </c>
      <c r="Q16" s="389"/>
      <c r="R16" s="386">
        <v>4.6</v>
      </c>
      <c r="S16" s="384">
        <v>4.7</v>
      </c>
      <c r="T16" s="384">
        <v>6.5</v>
      </c>
      <c r="U16" s="384">
        <v>7.4</v>
      </c>
      <c r="V16" s="384">
        <v>23.2</v>
      </c>
      <c r="W16" s="387">
        <f>V16/O16-1</f>
        <v>-0.17142857142857149</v>
      </c>
      <c r="X16" s="390"/>
      <c r="Y16" s="386">
        <v>7.4</v>
      </c>
      <c r="Z16" s="396">
        <v>7.1</v>
      </c>
      <c r="AA16" s="396">
        <v>8.3</v>
      </c>
      <c r="AB16" s="396">
        <v>8.4</v>
      </c>
      <c r="AC16" s="396">
        <v>31.2</v>
      </c>
      <c r="AD16" s="392">
        <f t="shared" si="3"/>
        <v>0.3448275862068966</v>
      </c>
      <c r="AE16" s="396">
        <v>8.5</v>
      </c>
      <c r="AF16" s="396">
        <v>7.7</v>
      </c>
      <c r="AG16" s="391">
        <v>7.6</v>
      </c>
      <c r="AH16" s="393">
        <v>7.6</v>
      </c>
      <c r="AI16" s="393">
        <v>31.4</v>
      </c>
      <c r="AJ16" s="394">
        <f>AI16/AC16-1</f>
        <v>0.0064102564102563875</v>
      </c>
      <c r="AL16" s="476"/>
    </row>
    <row r="17" ht="12.75" customHeight="1">
      <c r="AI17" s="411"/>
    </row>
    <row r="18" ht="12" customHeight="1">
      <c r="A18" s="412" t="s">
        <v>173</v>
      </c>
    </row>
    <row r="19" ht="12" customHeight="1">
      <c r="A19" s="412" t="s">
        <v>174</v>
      </c>
    </row>
    <row r="20" ht="12" customHeight="1">
      <c r="A20" s="382" t="s">
        <v>183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25"/>
  <sheetViews>
    <sheetView showGridLines="0" zoomScale="112" zoomScaleNormal="112" workbookViewId="0" topLeftCell="A1">
      <pane xSplit="1" topLeftCell="Z1" activePane="topRight" state="frozen"/>
      <selection pane="topLeft" activeCell="A1" sqref="A1"/>
      <selection pane="topRight" activeCell="A1" sqref="A1"/>
    </sheetView>
  </sheetViews>
  <sheetFormatPr defaultColWidth="9.28125" defaultRowHeight="12.75"/>
  <cols>
    <col min="1" max="1" width="30.57421875" style="423" customWidth="1"/>
    <col min="2" max="39" width="7.421875" style="423" customWidth="1"/>
    <col min="40" max="16384" width="9.28125" style="423" customWidth="1"/>
  </cols>
  <sheetData>
    <row r="1" spans="1:39" s="415" customFormat="1" ht="63.75">
      <c r="A1" s="413" t="s">
        <v>291</v>
      </c>
      <c r="B1" s="414">
        <v>43101</v>
      </c>
      <c r="C1" s="414">
        <v>43132</v>
      </c>
      <c r="D1" s="414">
        <v>43160</v>
      </c>
      <c r="E1" s="414">
        <v>43191</v>
      </c>
      <c r="F1" s="414">
        <v>43221</v>
      </c>
      <c r="G1" s="414">
        <v>43252</v>
      </c>
      <c r="H1" s="414">
        <v>43282</v>
      </c>
      <c r="I1" s="414">
        <v>43313</v>
      </c>
      <c r="J1" s="414">
        <v>43344</v>
      </c>
      <c r="K1" s="414">
        <v>43374</v>
      </c>
      <c r="L1" s="414">
        <v>43405</v>
      </c>
      <c r="M1" s="414">
        <v>43435</v>
      </c>
      <c r="N1" s="414">
        <v>43466</v>
      </c>
      <c r="O1" s="414">
        <v>43497</v>
      </c>
      <c r="P1" s="414">
        <v>43525</v>
      </c>
      <c r="Q1" s="414">
        <v>43556</v>
      </c>
      <c r="R1" s="414">
        <v>43586</v>
      </c>
      <c r="S1" s="414">
        <v>43617</v>
      </c>
      <c r="T1" s="414">
        <v>43647</v>
      </c>
      <c r="U1" s="414">
        <v>43678</v>
      </c>
      <c r="V1" s="414">
        <v>43709</v>
      </c>
      <c r="W1" s="414">
        <v>43739</v>
      </c>
      <c r="X1" s="414">
        <v>43770</v>
      </c>
      <c r="Y1" s="414">
        <v>43800</v>
      </c>
      <c r="Z1" s="414">
        <v>43831</v>
      </c>
      <c r="AA1" s="414">
        <v>43862</v>
      </c>
      <c r="AB1" s="414">
        <v>43891</v>
      </c>
      <c r="AC1" s="414">
        <v>43922</v>
      </c>
      <c r="AD1" s="414">
        <v>43952</v>
      </c>
      <c r="AE1" s="414">
        <v>43983</v>
      </c>
      <c r="AF1" s="414">
        <v>44013</v>
      </c>
      <c r="AG1" s="414">
        <v>44044</v>
      </c>
      <c r="AH1" s="414">
        <v>44075</v>
      </c>
      <c r="AI1" s="414">
        <v>44105</v>
      </c>
      <c r="AJ1" s="414">
        <v>44136</v>
      </c>
      <c r="AK1" s="414">
        <v>44166</v>
      </c>
      <c r="AL1" s="414">
        <v>44197</v>
      </c>
      <c r="AM1" s="414">
        <v>44228</v>
      </c>
    </row>
    <row r="2" spans="1:22" s="419" customFormat="1" ht="16.5" customHeight="1">
      <c r="A2" s="416" t="s">
        <v>265</v>
      </c>
      <c r="B2" s="417"/>
      <c r="C2" s="417"/>
      <c r="D2" s="417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</row>
    <row r="3" spans="1:39" ht="12.75">
      <c r="A3" s="420" t="s">
        <v>254</v>
      </c>
      <c r="B3" s="421">
        <v>48.7</v>
      </c>
      <c r="C3" s="421">
        <v>45.5</v>
      </c>
      <c r="D3" s="421">
        <v>48.9</v>
      </c>
      <c r="E3" s="421">
        <v>47.7</v>
      </c>
      <c r="F3" s="421">
        <v>53.5</v>
      </c>
      <c r="G3" s="421">
        <v>50.6</v>
      </c>
      <c r="H3" s="421">
        <v>55.9</v>
      </c>
      <c r="I3" s="421">
        <v>57.3</v>
      </c>
      <c r="J3" s="421">
        <v>57.4</v>
      </c>
      <c r="K3" s="421">
        <v>56.7</v>
      </c>
      <c r="L3" s="421">
        <v>54.2</v>
      </c>
      <c r="M3" s="421">
        <v>57.7</v>
      </c>
      <c r="N3" s="421">
        <v>58.7</v>
      </c>
      <c r="O3" s="421">
        <v>53.8</v>
      </c>
      <c r="P3" s="421">
        <v>60.3</v>
      </c>
      <c r="Q3" s="422">
        <v>58.6</v>
      </c>
      <c r="R3" s="422">
        <v>61.9</v>
      </c>
      <c r="S3" s="422">
        <v>58.7</v>
      </c>
      <c r="T3" s="422">
        <v>59.8</v>
      </c>
      <c r="U3" s="422">
        <v>59.2</v>
      </c>
      <c r="V3" s="422">
        <v>58.6</v>
      </c>
      <c r="W3" s="422">
        <v>56.3</v>
      </c>
      <c r="X3" s="422">
        <v>56.4</v>
      </c>
      <c r="Y3" s="422">
        <v>59.3</v>
      </c>
      <c r="Z3" s="422">
        <v>58.4</v>
      </c>
      <c r="AA3" s="422">
        <v>55.3</v>
      </c>
      <c r="AB3" s="422">
        <v>60.4</v>
      </c>
      <c r="AC3" s="422">
        <v>56.5</v>
      </c>
      <c r="AD3" s="391">
        <v>60</v>
      </c>
      <c r="AE3" s="422">
        <v>60.1</v>
      </c>
      <c r="AF3" s="422">
        <v>57.5</v>
      </c>
      <c r="AG3" s="391">
        <v>57.9</v>
      </c>
      <c r="AH3" s="422">
        <v>54.9</v>
      </c>
      <c r="AI3" s="421">
        <v>61.1</v>
      </c>
      <c r="AJ3" s="421">
        <v>62.4</v>
      </c>
      <c r="AK3" s="421">
        <v>64.5</v>
      </c>
      <c r="AL3" s="421">
        <v>61.7</v>
      </c>
      <c r="AM3" s="424">
        <v>58</v>
      </c>
    </row>
    <row r="4" spans="1:39" ht="12.75">
      <c r="A4" s="420" t="s">
        <v>255</v>
      </c>
      <c r="B4" s="421">
        <v>85.9</v>
      </c>
      <c r="C4" s="421">
        <v>71.5</v>
      </c>
      <c r="D4" s="421">
        <v>85.3</v>
      </c>
      <c r="E4" s="421">
        <v>87.8</v>
      </c>
      <c r="F4" s="421">
        <v>101.5</v>
      </c>
      <c r="G4" s="421">
        <v>52.8</v>
      </c>
      <c r="H4" s="421">
        <v>109.3</v>
      </c>
      <c r="I4" s="421">
        <v>128.6</v>
      </c>
      <c r="J4" s="421">
        <v>124</v>
      </c>
      <c r="K4" s="421">
        <v>120.8</v>
      </c>
      <c r="L4" s="421">
        <v>113.7</v>
      </c>
      <c r="M4" s="421">
        <v>122.1</v>
      </c>
      <c r="N4" s="424">
        <v>76</v>
      </c>
      <c r="O4" s="421">
        <v>119.9</v>
      </c>
      <c r="P4" s="421">
        <v>128.7</v>
      </c>
      <c r="Q4" s="422">
        <v>127.9</v>
      </c>
      <c r="R4" s="422">
        <v>133.5</v>
      </c>
      <c r="S4" s="422">
        <v>125.6</v>
      </c>
      <c r="T4" s="422">
        <v>74.7</v>
      </c>
      <c r="U4" s="422">
        <v>122.1</v>
      </c>
      <c r="V4" s="422">
        <v>120.4</v>
      </c>
      <c r="W4" s="422">
        <v>124.7</v>
      </c>
      <c r="X4" s="422">
        <v>131.9</v>
      </c>
      <c r="Y4" s="422">
        <v>129.3</v>
      </c>
      <c r="Z4" s="391">
        <v>83</v>
      </c>
      <c r="AA4" s="422">
        <v>125.2</v>
      </c>
      <c r="AB4" s="422">
        <v>126.7</v>
      </c>
      <c r="AC4" s="422">
        <v>125.2</v>
      </c>
      <c r="AD4" s="422">
        <v>127.6</v>
      </c>
      <c r="AE4" s="422">
        <v>119.8</v>
      </c>
      <c r="AF4" s="422">
        <v>108.6</v>
      </c>
      <c r="AG4" s="422">
        <v>58.4</v>
      </c>
      <c r="AH4" s="422">
        <v>121</v>
      </c>
      <c r="AI4" s="421">
        <v>125.2</v>
      </c>
      <c r="AJ4" s="421">
        <v>104.2</v>
      </c>
      <c r="AK4" s="421">
        <v>125.6</v>
      </c>
      <c r="AL4" s="421">
        <v>115.5</v>
      </c>
      <c r="AM4" s="421">
        <v>99.2</v>
      </c>
    </row>
    <row r="5" spans="1:39" ht="12.75">
      <c r="A5" s="420" t="s">
        <v>232</v>
      </c>
      <c r="B5" s="421">
        <v>13.4</v>
      </c>
      <c r="C5" s="421">
        <v>13.1</v>
      </c>
      <c r="D5" s="421">
        <v>12.1</v>
      </c>
      <c r="E5" s="421">
        <v>15.2</v>
      </c>
      <c r="F5" s="421">
        <v>15.8</v>
      </c>
      <c r="G5" s="421">
        <v>12.5</v>
      </c>
      <c r="H5" s="421">
        <v>14.2</v>
      </c>
      <c r="I5" s="421">
        <v>16.7</v>
      </c>
      <c r="J5" s="421">
        <v>15.8</v>
      </c>
      <c r="K5" s="421">
        <v>15.8</v>
      </c>
      <c r="L5" s="421">
        <v>15.1</v>
      </c>
      <c r="M5" s="424">
        <v>14</v>
      </c>
      <c r="N5" s="421">
        <v>12.2</v>
      </c>
      <c r="O5" s="421">
        <v>15.5</v>
      </c>
      <c r="P5" s="421">
        <v>17.4</v>
      </c>
      <c r="Q5" s="422">
        <v>19.9</v>
      </c>
      <c r="R5" s="422">
        <v>19.7</v>
      </c>
      <c r="S5" s="422">
        <v>19.4</v>
      </c>
      <c r="T5" s="422">
        <v>16.6</v>
      </c>
      <c r="U5" s="422">
        <v>17.9</v>
      </c>
      <c r="V5" s="422">
        <v>18.6</v>
      </c>
      <c r="W5" s="422">
        <v>18.7</v>
      </c>
      <c r="X5" s="422">
        <v>21.3</v>
      </c>
      <c r="Y5" s="391">
        <v>23</v>
      </c>
      <c r="Z5" s="422">
        <v>15.6</v>
      </c>
      <c r="AA5" s="422">
        <v>15.8</v>
      </c>
      <c r="AB5" s="422">
        <v>20.2</v>
      </c>
      <c r="AC5" s="391">
        <v>17</v>
      </c>
      <c r="AD5" s="422">
        <v>16.1</v>
      </c>
      <c r="AE5" s="422">
        <v>15.3</v>
      </c>
      <c r="AF5" s="391">
        <v>15.1</v>
      </c>
      <c r="AG5" s="422">
        <v>13.8</v>
      </c>
      <c r="AH5" s="422">
        <v>16.2</v>
      </c>
      <c r="AI5" s="421">
        <v>16.6</v>
      </c>
      <c r="AJ5" s="424">
        <v>18</v>
      </c>
      <c r="AK5" s="421">
        <v>14.4</v>
      </c>
      <c r="AL5" s="421">
        <v>10.8</v>
      </c>
      <c r="AM5" s="421">
        <v>11.8</v>
      </c>
    </row>
    <row r="6" spans="1:39" ht="12.75">
      <c r="A6" s="420" t="s">
        <v>181</v>
      </c>
      <c r="B6" s="421">
        <v>1.1</v>
      </c>
      <c r="C6" s="421">
        <v>1.4</v>
      </c>
      <c r="D6" s="421">
        <v>1.5</v>
      </c>
      <c r="E6" s="421">
        <v>1</v>
      </c>
      <c r="F6" s="421">
        <v>1.6</v>
      </c>
      <c r="G6" s="421">
        <v>1.3</v>
      </c>
      <c r="H6" s="421">
        <v>1.5</v>
      </c>
      <c r="I6" s="421">
        <v>1.1</v>
      </c>
      <c r="J6" s="421">
        <v>0.8</v>
      </c>
      <c r="K6" s="421">
        <v>1.5</v>
      </c>
      <c r="L6" s="421">
        <v>1.4</v>
      </c>
      <c r="M6" s="421">
        <v>1.3</v>
      </c>
      <c r="N6" s="424">
        <v>1</v>
      </c>
      <c r="O6" s="421">
        <v>1.2</v>
      </c>
      <c r="P6" s="421">
        <v>1.1</v>
      </c>
      <c r="Q6" s="422">
        <v>0.4</v>
      </c>
      <c r="R6" s="422">
        <v>1.3</v>
      </c>
      <c r="S6" s="422">
        <v>1.2</v>
      </c>
      <c r="T6" s="422">
        <v>0.55</v>
      </c>
      <c r="U6" s="391">
        <v>1.42</v>
      </c>
      <c r="V6" s="422">
        <v>0.7</v>
      </c>
      <c r="W6" s="422">
        <v>0.7</v>
      </c>
      <c r="X6" s="422">
        <v>1.1</v>
      </c>
      <c r="Y6" s="422">
        <v>1.3</v>
      </c>
      <c r="Z6" s="422">
        <v>0.8</v>
      </c>
      <c r="AA6" s="422">
        <v>0.8</v>
      </c>
      <c r="AB6" s="422">
        <v>0.2</v>
      </c>
      <c r="AC6" s="422">
        <v>0.7</v>
      </c>
      <c r="AD6" s="422">
        <v>1.7</v>
      </c>
      <c r="AE6" s="422">
        <v>1.2</v>
      </c>
      <c r="AF6" s="422">
        <v>0.8</v>
      </c>
      <c r="AG6" s="422">
        <v>0.6</v>
      </c>
      <c r="AH6" s="422">
        <v>0.5</v>
      </c>
      <c r="AI6" s="421">
        <v>0.6</v>
      </c>
      <c r="AJ6" s="421">
        <v>0.6</v>
      </c>
      <c r="AK6" s="421">
        <v>0.9</v>
      </c>
      <c r="AL6" s="421">
        <v>0.6</v>
      </c>
      <c r="AM6" s="421">
        <v>0.4</v>
      </c>
    </row>
    <row r="7" spans="1:34" s="419" customFormat="1" ht="16.5" customHeight="1">
      <c r="A7" s="416" t="s">
        <v>87</v>
      </c>
      <c r="B7" s="425"/>
      <c r="C7" s="425"/>
      <c r="D7" s="425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8"/>
      <c r="AG7" s="428"/>
      <c r="AH7" s="428"/>
    </row>
    <row r="8" spans="1:39" ht="12.75">
      <c r="A8" s="420" t="s">
        <v>258</v>
      </c>
      <c r="B8" s="421">
        <v>33.8</v>
      </c>
      <c r="C8" s="421">
        <v>32.8</v>
      </c>
      <c r="D8" s="421">
        <v>36.1</v>
      </c>
      <c r="E8" s="421">
        <v>33</v>
      </c>
      <c r="F8" s="421">
        <v>35.2</v>
      </c>
      <c r="G8" s="421">
        <v>34</v>
      </c>
      <c r="H8" s="421">
        <v>33.8</v>
      </c>
      <c r="I8" s="421">
        <v>33.9</v>
      </c>
      <c r="J8" s="421">
        <v>33.3</v>
      </c>
      <c r="K8" s="421">
        <v>36.2</v>
      </c>
      <c r="L8" s="421">
        <v>32.8</v>
      </c>
      <c r="M8" s="421">
        <v>26.3</v>
      </c>
      <c r="N8" s="421">
        <v>33.9</v>
      </c>
      <c r="O8" s="424">
        <v>31</v>
      </c>
      <c r="P8" s="421">
        <v>34.2</v>
      </c>
      <c r="Q8" s="422">
        <v>33.8</v>
      </c>
      <c r="R8" s="391">
        <v>35</v>
      </c>
      <c r="S8" s="422">
        <v>32.3</v>
      </c>
      <c r="T8" s="422">
        <v>35.3</v>
      </c>
      <c r="U8" s="422">
        <v>35.2</v>
      </c>
      <c r="V8" s="422">
        <v>34.3</v>
      </c>
      <c r="W8" s="422">
        <v>36.5</v>
      </c>
      <c r="X8" s="422">
        <v>30.8</v>
      </c>
      <c r="Y8" s="422">
        <v>26.8</v>
      </c>
      <c r="Z8" s="422">
        <v>31.9</v>
      </c>
      <c r="AA8" s="422">
        <v>32.9</v>
      </c>
      <c r="AB8" s="422">
        <v>34.3</v>
      </c>
      <c r="AC8" s="422">
        <v>31.8</v>
      </c>
      <c r="AD8" s="422">
        <v>33.8</v>
      </c>
      <c r="AE8" s="391">
        <v>34</v>
      </c>
      <c r="AF8" s="422">
        <v>33.3</v>
      </c>
      <c r="AG8" s="391">
        <v>31.2</v>
      </c>
      <c r="AH8" s="422">
        <v>33.5</v>
      </c>
      <c r="AI8" s="421">
        <v>34.7</v>
      </c>
      <c r="AJ8" s="421">
        <v>33.1</v>
      </c>
      <c r="AK8" s="421">
        <v>28.1</v>
      </c>
      <c r="AL8" s="421">
        <v>31.2</v>
      </c>
      <c r="AM8" s="424">
        <v>31</v>
      </c>
    </row>
    <row r="9" spans="1:39" ht="12.75">
      <c r="A9" s="420" t="s">
        <v>259</v>
      </c>
      <c r="B9" s="421">
        <v>105.4</v>
      </c>
      <c r="C9" s="421">
        <v>103.1</v>
      </c>
      <c r="D9" s="421">
        <v>113.3</v>
      </c>
      <c r="E9" s="421">
        <v>101.7</v>
      </c>
      <c r="F9" s="421">
        <v>109</v>
      </c>
      <c r="G9" s="421">
        <v>106.9</v>
      </c>
      <c r="H9" s="421">
        <v>106.8</v>
      </c>
      <c r="I9" s="421">
        <v>108.7</v>
      </c>
      <c r="J9" s="421">
        <v>105.2</v>
      </c>
      <c r="K9" s="421">
        <v>112.5</v>
      </c>
      <c r="L9" s="421">
        <v>104.8</v>
      </c>
      <c r="M9" s="421">
        <v>86.7</v>
      </c>
      <c r="N9" s="424">
        <v>110</v>
      </c>
      <c r="O9" s="421">
        <v>95.2</v>
      </c>
      <c r="P9" s="421">
        <v>106.3</v>
      </c>
      <c r="Q9" s="422">
        <v>105.8</v>
      </c>
      <c r="R9" s="422">
        <v>110.7</v>
      </c>
      <c r="S9" s="422">
        <v>105.1</v>
      </c>
      <c r="T9" s="422">
        <v>108.3</v>
      </c>
      <c r="U9" s="422">
        <v>106.8</v>
      </c>
      <c r="V9" s="391">
        <v>104</v>
      </c>
      <c r="W9" s="422">
        <v>114.5</v>
      </c>
      <c r="X9" s="422">
        <v>97.4</v>
      </c>
      <c r="Y9" s="391">
        <v>85</v>
      </c>
      <c r="Z9" s="422">
        <v>101.5</v>
      </c>
      <c r="AA9" s="422">
        <v>103.7</v>
      </c>
      <c r="AB9" s="422">
        <v>106.8</v>
      </c>
      <c r="AC9" s="422">
        <v>98.5</v>
      </c>
      <c r="AD9" s="422">
        <v>102.5</v>
      </c>
      <c r="AE9" s="391">
        <v>104</v>
      </c>
      <c r="AF9" s="422">
        <v>100.7</v>
      </c>
      <c r="AG9" s="422">
        <v>94.7</v>
      </c>
      <c r="AH9" s="422">
        <v>104.6</v>
      </c>
      <c r="AI9" s="421">
        <v>109.8</v>
      </c>
      <c r="AJ9" s="421">
        <v>103.4</v>
      </c>
      <c r="AK9" s="421">
        <v>88.2</v>
      </c>
      <c r="AL9" s="421">
        <v>99.4</v>
      </c>
      <c r="AM9" s="424">
        <v>100</v>
      </c>
    </row>
    <row r="10" spans="1:39" ht="12.75">
      <c r="A10" s="420" t="s">
        <v>260</v>
      </c>
      <c r="B10" s="421">
        <v>37.6</v>
      </c>
      <c r="C10" s="421">
        <v>34.9</v>
      </c>
      <c r="D10" s="421">
        <v>38.3</v>
      </c>
      <c r="E10" s="421">
        <v>37.1</v>
      </c>
      <c r="F10" s="421">
        <v>40.2</v>
      </c>
      <c r="G10" s="421">
        <v>39.4</v>
      </c>
      <c r="H10" s="421">
        <v>45.2</v>
      </c>
      <c r="I10" s="421">
        <v>46.8</v>
      </c>
      <c r="J10" s="421">
        <v>46.9</v>
      </c>
      <c r="K10" s="421">
        <v>45.3</v>
      </c>
      <c r="L10" s="421">
        <v>43.5</v>
      </c>
      <c r="M10" s="421">
        <v>46.7</v>
      </c>
      <c r="N10" s="421">
        <v>48.4</v>
      </c>
      <c r="O10" s="421">
        <v>44.2</v>
      </c>
      <c r="P10" s="421">
        <v>49.1</v>
      </c>
      <c r="Q10" s="422">
        <v>47.9</v>
      </c>
      <c r="R10" s="422">
        <v>49.7</v>
      </c>
      <c r="S10" s="422">
        <v>47.4</v>
      </c>
      <c r="T10" s="422">
        <v>47.9</v>
      </c>
      <c r="U10" s="422">
        <v>47.1</v>
      </c>
      <c r="V10" s="422">
        <v>45.9</v>
      </c>
      <c r="W10" s="422">
        <v>45.2</v>
      </c>
      <c r="X10" s="422">
        <v>45.7</v>
      </c>
      <c r="Y10" s="391">
        <v>47</v>
      </c>
      <c r="Z10" s="422">
        <v>48.2</v>
      </c>
      <c r="AA10" s="422">
        <v>44.5</v>
      </c>
      <c r="AB10" s="422">
        <v>48.3</v>
      </c>
      <c r="AC10" s="422">
        <v>45.9</v>
      </c>
      <c r="AD10" s="391">
        <v>48</v>
      </c>
      <c r="AE10" s="422">
        <v>45.9</v>
      </c>
      <c r="AF10" s="391">
        <v>44.7</v>
      </c>
      <c r="AG10" s="422">
        <v>44.7</v>
      </c>
      <c r="AH10" s="422">
        <v>41.8</v>
      </c>
      <c r="AI10" s="421">
        <v>48.9</v>
      </c>
      <c r="AJ10" s="421">
        <v>48.4</v>
      </c>
      <c r="AK10" s="421">
        <v>51.1</v>
      </c>
      <c r="AL10" s="421">
        <v>50.1</v>
      </c>
      <c r="AM10" s="421">
        <v>45.8</v>
      </c>
    </row>
    <row r="11" spans="1:39" ht="12.75">
      <c r="A11" s="420" t="s">
        <v>261</v>
      </c>
      <c r="B11" s="421">
        <v>30.3</v>
      </c>
      <c r="C11" s="421">
        <v>27.3</v>
      </c>
      <c r="D11" s="421">
        <v>28.5</v>
      </c>
      <c r="E11" s="421">
        <v>28.3</v>
      </c>
      <c r="F11" s="421">
        <v>28.6</v>
      </c>
      <c r="G11" s="421">
        <v>28.4</v>
      </c>
      <c r="H11" s="421">
        <v>35.5</v>
      </c>
      <c r="I11" s="421">
        <v>36.9</v>
      </c>
      <c r="J11" s="421">
        <v>37.9</v>
      </c>
      <c r="K11" s="421">
        <v>35.6</v>
      </c>
      <c r="L11" s="421">
        <v>33.3</v>
      </c>
      <c r="M11" s="421">
        <v>34.8</v>
      </c>
      <c r="N11" s="421">
        <v>36.8</v>
      </c>
      <c r="O11" s="421">
        <v>32.4</v>
      </c>
      <c r="P11" s="424">
        <v>35</v>
      </c>
      <c r="Q11" s="422">
        <v>34.7</v>
      </c>
      <c r="R11" s="422">
        <v>35.7</v>
      </c>
      <c r="S11" s="422">
        <v>32.9</v>
      </c>
      <c r="T11" s="422">
        <v>35.4</v>
      </c>
      <c r="U11" s="422">
        <v>39.2</v>
      </c>
      <c r="V11" s="391">
        <v>31</v>
      </c>
      <c r="W11" s="422">
        <v>32.9</v>
      </c>
      <c r="X11" s="422">
        <v>35.9</v>
      </c>
      <c r="Y11" s="391">
        <v>36.4</v>
      </c>
      <c r="Z11" s="422">
        <v>33.2</v>
      </c>
      <c r="AA11" s="422">
        <v>31.2</v>
      </c>
      <c r="AB11" s="422">
        <v>38.6</v>
      </c>
      <c r="AC11" s="422">
        <v>34.3</v>
      </c>
      <c r="AD11" s="422">
        <v>34.6</v>
      </c>
      <c r="AE11" s="391">
        <v>34</v>
      </c>
      <c r="AF11" s="422">
        <v>27.3</v>
      </c>
      <c r="AG11" s="422">
        <v>25.2</v>
      </c>
      <c r="AH11" s="422">
        <v>28.7</v>
      </c>
      <c r="AI11" s="421">
        <v>41.2</v>
      </c>
      <c r="AJ11" s="421">
        <v>42.8</v>
      </c>
      <c r="AK11" s="421">
        <v>42.2</v>
      </c>
      <c r="AL11" s="421">
        <v>32.4</v>
      </c>
      <c r="AM11" s="424">
        <v>32</v>
      </c>
    </row>
    <row r="12" spans="1:39" ht="12.75">
      <c r="A12" s="420" t="s">
        <v>262</v>
      </c>
      <c r="B12" s="421">
        <v>84.9</v>
      </c>
      <c r="C12" s="421">
        <v>70.3</v>
      </c>
      <c r="D12" s="421">
        <v>84.2</v>
      </c>
      <c r="E12" s="421">
        <v>87</v>
      </c>
      <c r="F12" s="421">
        <v>100.3</v>
      </c>
      <c r="G12" s="421">
        <v>51.7</v>
      </c>
      <c r="H12" s="421">
        <v>108.1</v>
      </c>
      <c r="I12" s="421">
        <v>127.1</v>
      </c>
      <c r="J12" s="421">
        <v>122.6</v>
      </c>
      <c r="K12" s="421">
        <v>119.3</v>
      </c>
      <c r="L12" s="421">
        <v>112.3</v>
      </c>
      <c r="M12" s="424">
        <v>121</v>
      </c>
      <c r="N12" s="421">
        <v>74.8</v>
      </c>
      <c r="O12" s="421">
        <v>118.7</v>
      </c>
      <c r="P12" s="421">
        <v>127.5</v>
      </c>
      <c r="Q12" s="422">
        <v>126.8</v>
      </c>
      <c r="R12" s="422">
        <v>132.4</v>
      </c>
      <c r="S12" s="422">
        <v>124.4</v>
      </c>
      <c r="T12" s="422">
        <v>73.5</v>
      </c>
      <c r="U12" s="422">
        <v>120.8</v>
      </c>
      <c r="V12" s="391">
        <v>119</v>
      </c>
      <c r="W12" s="422">
        <v>123.5</v>
      </c>
      <c r="X12" s="422">
        <v>130.8</v>
      </c>
      <c r="Y12" s="391">
        <v>127.9</v>
      </c>
      <c r="Z12" s="422">
        <v>81.5</v>
      </c>
      <c r="AA12" s="422">
        <v>123.2</v>
      </c>
      <c r="AB12" s="422">
        <v>124.5</v>
      </c>
      <c r="AC12" s="422">
        <v>123.3</v>
      </c>
      <c r="AD12" s="422">
        <v>125.1</v>
      </c>
      <c r="AE12" s="422">
        <v>117.4</v>
      </c>
      <c r="AF12" s="391">
        <v>106.4</v>
      </c>
      <c r="AG12" s="422">
        <v>55.8</v>
      </c>
      <c r="AH12" s="422">
        <v>118.2</v>
      </c>
      <c r="AI12" s="421">
        <v>122.9</v>
      </c>
      <c r="AJ12" s="424">
        <v>101</v>
      </c>
      <c r="AK12" s="421">
        <v>123.5</v>
      </c>
      <c r="AL12" s="421">
        <v>113.2</v>
      </c>
      <c r="AM12" s="424">
        <v>97</v>
      </c>
    </row>
    <row r="13" spans="1:39" ht="12.75">
      <c r="A13" s="420" t="s">
        <v>232</v>
      </c>
      <c r="B13" s="421">
        <v>4.3</v>
      </c>
      <c r="C13" s="421">
        <v>6.4</v>
      </c>
      <c r="D13" s="421">
        <v>5.9</v>
      </c>
      <c r="E13" s="421">
        <v>8</v>
      </c>
      <c r="F13" s="421">
        <v>7.2</v>
      </c>
      <c r="G13" s="421">
        <v>4.9</v>
      </c>
      <c r="H13" s="421">
        <v>6.4</v>
      </c>
      <c r="I13" s="421">
        <v>9</v>
      </c>
      <c r="J13" s="421">
        <v>8.3</v>
      </c>
      <c r="K13" s="421">
        <v>7.6</v>
      </c>
      <c r="L13" s="421">
        <v>7.7</v>
      </c>
      <c r="M13" s="421">
        <v>5.8</v>
      </c>
      <c r="N13" s="421">
        <v>4.3</v>
      </c>
      <c r="O13" s="421">
        <v>7.8</v>
      </c>
      <c r="P13" s="421">
        <v>7.8</v>
      </c>
      <c r="Q13" s="422">
        <v>10.2</v>
      </c>
      <c r="R13" s="422">
        <v>10.5</v>
      </c>
      <c r="S13" s="422">
        <v>10.1</v>
      </c>
      <c r="T13" s="422">
        <v>6.4</v>
      </c>
      <c r="U13" s="422">
        <v>6.1</v>
      </c>
      <c r="V13" s="422">
        <v>8.3</v>
      </c>
      <c r="W13" s="422">
        <v>9.4</v>
      </c>
      <c r="X13" s="422">
        <v>10.9</v>
      </c>
      <c r="Y13" s="422">
        <v>12.1</v>
      </c>
      <c r="Z13" s="422">
        <v>7.6</v>
      </c>
      <c r="AA13" s="391">
        <v>7</v>
      </c>
      <c r="AB13" s="422">
        <v>10.6</v>
      </c>
      <c r="AC13" s="391">
        <v>7.9</v>
      </c>
      <c r="AD13" s="422">
        <v>6.5</v>
      </c>
      <c r="AE13" s="391">
        <v>6</v>
      </c>
      <c r="AF13" s="422">
        <v>7.2</v>
      </c>
      <c r="AG13" s="422">
        <v>5</v>
      </c>
      <c r="AH13" s="422">
        <v>9.2</v>
      </c>
      <c r="AI13" s="421">
        <v>10.6</v>
      </c>
      <c r="AJ13" s="421">
        <v>11.5</v>
      </c>
      <c r="AK13" s="421">
        <v>7.6</v>
      </c>
      <c r="AL13" s="421">
        <v>5.1</v>
      </c>
      <c r="AM13" s="424">
        <v>6</v>
      </c>
    </row>
    <row r="14" spans="1:34" s="419" customFormat="1" ht="16.5" customHeight="1">
      <c r="A14" s="416" t="s">
        <v>263</v>
      </c>
      <c r="B14" s="425"/>
      <c r="C14" s="425"/>
      <c r="D14" s="425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8"/>
      <c r="AG14" s="428"/>
      <c r="AH14" s="428"/>
    </row>
    <row r="15" spans="1:39" ht="12.75">
      <c r="A15" s="420" t="s">
        <v>254</v>
      </c>
      <c r="B15" s="421">
        <v>7.5</v>
      </c>
      <c r="C15" s="421">
        <v>6.3</v>
      </c>
      <c r="D15" s="421">
        <v>6.3</v>
      </c>
      <c r="E15" s="421">
        <v>6.9</v>
      </c>
      <c r="F15" s="421">
        <v>8.8</v>
      </c>
      <c r="G15" s="421">
        <v>6.9</v>
      </c>
      <c r="H15" s="421">
        <v>6.6</v>
      </c>
      <c r="I15" s="421">
        <v>5.9</v>
      </c>
      <c r="J15" s="421">
        <v>5.6</v>
      </c>
      <c r="K15" s="421">
        <v>5.9</v>
      </c>
      <c r="L15" s="421">
        <v>5.7</v>
      </c>
      <c r="M15" s="421">
        <v>6.4</v>
      </c>
      <c r="N15" s="421">
        <v>5.3</v>
      </c>
      <c r="O15" s="421">
        <v>4.8</v>
      </c>
      <c r="P15" s="424">
        <v>6.21</v>
      </c>
      <c r="Q15" s="422">
        <v>6.3</v>
      </c>
      <c r="R15" s="391">
        <v>7</v>
      </c>
      <c r="S15" s="422">
        <v>6.4</v>
      </c>
      <c r="T15" s="422">
        <v>7.2</v>
      </c>
      <c r="U15" s="422">
        <v>6.8</v>
      </c>
      <c r="V15" s="422">
        <v>7.5</v>
      </c>
      <c r="W15" s="422">
        <v>6.3</v>
      </c>
      <c r="X15" s="422">
        <v>6.1</v>
      </c>
      <c r="Y15" s="422">
        <v>6.6</v>
      </c>
      <c r="Z15" s="422">
        <v>4.6</v>
      </c>
      <c r="AA15" s="422">
        <v>4.6</v>
      </c>
      <c r="AB15" s="391">
        <v>5</v>
      </c>
      <c r="AC15" s="391">
        <v>5</v>
      </c>
      <c r="AD15" s="391">
        <v>4.8</v>
      </c>
      <c r="AE15" s="391">
        <v>6.7</v>
      </c>
      <c r="AF15" s="422">
        <v>6.4</v>
      </c>
      <c r="AG15" s="391">
        <v>6.2</v>
      </c>
      <c r="AH15" s="422">
        <v>5.9</v>
      </c>
      <c r="AI15" s="421">
        <v>5.7</v>
      </c>
      <c r="AJ15" s="424">
        <v>6</v>
      </c>
      <c r="AK15" s="421">
        <v>6.1</v>
      </c>
      <c r="AL15" s="421">
        <v>5.5</v>
      </c>
      <c r="AM15" s="421">
        <v>4.9</v>
      </c>
    </row>
    <row r="16" spans="1:39" ht="12.75">
      <c r="A16" s="420" t="s">
        <v>232</v>
      </c>
      <c r="B16" s="421">
        <v>6.4</v>
      </c>
      <c r="C16" s="421">
        <v>5.1</v>
      </c>
      <c r="D16" s="421">
        <v>4.3</v>
      </c>
      <c r="E16" s="421">
        <v>5.8</v>
      </c>
      <c r="F16" s="421">
        <v>6.8</v>
      </c>
      <c r="G16" s="421">
        <v>6.1</v>
      </c>
      <c r="H16" s="421">
        <v>6.3</v>
      </c>
      <c r="I16" s="421">
        <v>5.8</v>
      </c>
      <c r="J16" s="421">
        <v>4.5</v>
      </c>
      <c r="K16" s="421">
        <v>5.6</v>
      </c>
      <c r="L16" s="421">
        <v>4.9</v>
      </c>
      <c r="M16" s="421">
        <v>5.9</v>
      </c>
      <c r="N16" s="421">
        <v>5.4</v>
      </c>
      <c r="O16" s="424">
        <v>5</v>
      </c>
      <c r="P16" s="424">
        <v>7.44</v>
      </c>
      <c r="Q16" s="422">
        <v>7.5</v>
      </c>
      <c r="R16" s="422">
        <v>6.7</v>
      </c>
      <c r="S16" s="422">
        <v>6.9</v>
      </c>
      <c r="T16" s="422">
        <v>7.5</v>
      </c>
      <c r="U16" s="422">
        <v>8.8</v>
      </c>
      <c r="V16" s="422">
        <v>7.7</v>
      </c>
      <c r="W16" s="422">
        <v>6.8</v>
      </c>
      <c r="X16" s="422">
        <v>7.6</v>
      </c>
      <c r="Y16" s="422">
        <v>7.8</v>
      </c>
      <c r="Z16" s="422">
        <v>5.3</v>
      </c>
      <c r="AA16" s="422">
        <v>5.7</v>
      </c>
      <c r="AB16" s="422">
        <v>6.8</v>
      </c>
      <c r="AC16" s="422">
        <v>6.7</v>
      </c>
      <c r="AD16" s="391">
        <v>7</v>
      </c>
      <c r="AE16" s="422">
        <v>6.6</v>
      </c>
      <c r="AF16" s="422">
        <v>5.4</v>
      </c>
      <c r="AG16" s="422">
        <v>6.4</v>
      </c>
      <c r="AH16" s="422">
        <v>4.4</v>
      </c>
      <c r="AI16" s="421">
        <v>3.7</v>
      </c>
      <c r="AJ16" s="421">
        <v>3.9</v>
      </c>
      <c r="AK16" s="424">
        <v>4</v>
      </c>
      <c r="AL16" s="421">
        <v>3.3</v>
      </c>
      <c r="AM16" s="421">
        <v>3.7</v>
      </c>
    </row>
    <row r="17" spans="1:39" ht="12.75">
      <c r="A17" s="420" t="s">
        <v>181</v>
      </c>
      <c r="B17" s="421">
        <v>0.02</v>
      </c>
      <c r="C17" s="421">
        <v>0.01</v>
      </c>
      <c r="D17" s="421">
        <v>0.03</v>
      </c>
      <c r="E17" s="421">
        <v>0.05</v>
      </c>
      <c r="F17" s="421">
        <v>0.03</v>
      </c>
      <c r="G17" s="421">
        <v>0.05</v>
      </c>
      <c r="H17" s="421">
        <v>0.06</v>
      </c>
      <c r="I17" s="421">
        <v>0.12</v>
      </c>
      <c r="J17" s="421">
        <v>0.05</v>
      </c>
      <c r="K17" s="421">
        <v>0.04</v>
      </c>
      <c r="L17" s="421">
        <v>0.09</v>
      </c>
      <c r="M17" s="421">
        <v>0.06</v>
      </c>
      <c r="N17" s="421">
        <v>0.02</v>
      </c>
      <c r="O17" s="421">
        <v>0.08</v>
      </c>
      <c r="P17" s="421">
        <v>0.1</v>
      </c>
      <c r="Q17" s="429">
        <v>0.12</v>
      </c>
      <c r="R17" s="422">
        <v>0.13</v>
      </c>
      <c r="S17" s="422">
        <v>0.05</v>
      </c>
      <c r="T17" s="422">
        <v>0.05</v>
      </c>
      <c r="U17" s="422">
        <v>0.02</v>
      </c>
      <c r="V17" s="422">
        <v>0.02</v>
      </c>
      <c r="W17" s="422">
        <v>0.047</v>
      </c>
      <c r="X17" s="422">
        <v>0.07</v>
      </c>
      <c r="Y17" s="422">
        <v>0.06</v>
      </c>
      <c r="Z17" s="422">
        <v>0.06</v>
      </c>
      <c r="AA17" s="422">
        <v>0.08</v>
      </c>
      <c r="AB17" s="422">
        <v>0.04</v>
      </c>
      <c r="AC17" s="422">
        <v>0.04</v>
      </c>
      <c r="AD17" s="422">
        <v>0.03</v>
      </c>
      <c r="AE17" s="422">
        <v>0.06</v>
      </c>
      <c r="AF17" s="391">
        <v>0.02</v>
      </c>
      <c r="AG17" s="422">
        <v>0.03</v>
      </c>
      <c r="AH17" s="422">
        <v>0.01</v>
      </c>
      <c r="AI17" s="421">
        <v>0.002</v>
      </c>
      <c r="AJ17" s="421">
        <v>0.03</v>
      </c>
      <c r="AK17" s="421">
        <v>0.02</v>
      </c>
      <c r="AL17" s="421" t="s">
        <v>201</v>
      </c>
      <c r="AM17" s="421" t="s">
        <v>201</v>
      </c>
    </row>
    <row r="18" spans="1:34" s="419" customFormat="1" ht="16.5" customHeight="1">
      <c r="A18" s="416" t="s">
        <v>266</v>
      </c>
      <c r="B18" s="425"/>
      <c r="C18" s="425"/>
      <c r="D18" s="425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2"/>
      <c r="AG18" s="422"/>
      <c r="AH18" s="422"/>
    </row>
    <row r="19" spans="1:39" ht="12.75">
      <c r="A19" s="420" t="s">
        <v>254</v>
      </c>
      <c r="B19" s="421">
        <v>3.6</v>
      </c>
      <c r="C19" s="421">
        <v>4.2</v>
      </c>
      <c r="D19" s="421">
        <v>4.2</v>
      </c>
      <c r="E19" s="421">
        <v>3.7</v>
      </c>
      <c r="F19" s="421">
        <v>4.5</v>
      </c>
      <c r="G19" s="421">
        <v>4.3</v>
      </c>
      <c r="H19" s="421">
        <v>4.1</v>
      </c>
      <c r="I19" s="421">
        <v>4.6</v>
      </c>
      <c r="J19" s="421">
        <v>4.9</v>
      </c>
      <c r="K19" s="421">
        <v>5.5</v>
      </c>
      <c r="L19" s="424">
        <v>5</v>
      </c>
      <c r="M19" s="421">
        <v>4.6</v>
      </c>
      <c r="N19" s="424">
        <v>5</v>
      </c>
      <c r="O19" s="421">
        <v>4.8</v>
      </c>
      <c r="P19" s="424">
        <v>5</v>
      </c>
      <c r="Q19" s="422">
        <v>4.4</v>
      </c>
      <c r="R19" s="422">
        <v>5.2</v>
      </c>
      <c r="S19" s="422">
        <v>4.9</v>
      </c>
      <c r="T19" s="422">
        <v>4.6</v>
      </c>
      <c r="U19" s="422">
        <v>5.3</v>
      </c>
      <c r="V19" s="422">
        <v>5.2</v>
      </c>
      <c r="W19" s="422">
        <v>4.8</v>
      </c>
      <c r="X19" s="422">
        <v>4.6</v>
      </c>
      <c r="Y19" s="422">
        <v>5.7</v>
      </c>
      <c r="Z19" s="422">
        <v>5.6</v>
      </c>
      <c r="AA19" s="422">
        <v>6.2</v>
      </c>
      <c r="AB19" s="422">
        <v>7.1</v>
      </c>
      <c r="AC19" s="422">
        <v>5.6</v>
      </c>
      <c r="AD19" s="422">
        <v>7.2</v>
      </c>
      <c r="AE19" s="422">
        <v>7.5</v>
      </c>
      <c r="AF19" s="422">
        <v>6.4</v>
      </c>
      <c r="AG19" s="422">
        <v>7</v>
      </c>
      <c r="AH19" s="422">
        <v>7.2</v>
      </c>
      <c r="AI19" s="421">
        <v>6.5</v>
      </c>
      <c r="AJ19" s="424">
        <v>8</v>
      </c>
      <c r="AK19" s="421">
        <v>7.3</v>
      </c>
      <c r="AL19" s="421">
        <v>6.1</v>
      </c>
      <c r="AM19" s="421">
        <v>7.3</v>
      </c>
    </row>
    <row r="20" spans="1:39" ht="12.75">
      <c r="A20" s="420" t="s">
        <v>181</v>
      </c>
      <c r="B20" s="421">
        <v>1.1</v>
      </c>
      <c r="C20" s="421">
        <v>1.4</v>
      </c>
      <c r="D20" s="421">
        <v>1.5</v>
      </c>
      <c r="E20" s="421">
        <v>0.9</v>
      </c>
      <c r="F20" s="421">
        <v>1.6</v>
      </c>
      <c r="G20" s="421">
        <v>1.2</v>
      </c>
      <c r="H20" s="421">
        <v>1.4</v>
      </c>
      <c r="I20" s="421">
        <v>1</v>
      </c>
      <c r="J20" s="421">
        <v>0.7</v>
      </c>
      <c r="K20" s="421">
        <v>1.5</v>
      </c>
      <c r="L20" s="421">
        <v>1.3</v>
      </c>
      <c r="M20" s="421">
        <v>1.2</v>
      </c>
      <c r="N20" s="424">
        <v>1</v>
      </c>
      <c r="O20" s="421">
        <v>1.1</v>
      </c>
      <c r="P20" s="424">
        <v>1</v>
      </c>
      <c r="Q20" s="422">
        <v>0.3</v>
      </c>
      <c r="R20" s="422">
        <v>1.2</v>
      </c>
      <c r="S20" s="422">
        <v>1.1</v>
      </c>
      <c r="T20" s="422">
        <v>0.5</v>
      </c>
      <c r="U20" s="422">
        <v>1.4</v>
      </c>
      <c r="V20" s="422">
        <v>0.7</v>
      </c>
      <c r="W20" s="422">
        <v>0.7</v>
      </c>
      <c r="X20" s="391">
        <v>1</v>
      </c>
      <c r="Y20" s="422">
        <v>1.2</v>
      </c>
      <c r="Z20" s="422">
        <v>0.7</v>
      </c>
      <c r="AA20" s="422">
        <v>0.7</v>
      </c>
      <c r="AB20" s="422">
        <v>0.2</v>
      </c>
      <c r="AC20" s="422">
        <v>0.7</v>
      </c>
      <c r="AD20" s="422">
        <v>1.7</v>
      </c>
      <c r="AE20" s="422">
        <v>1.1</v>
      </c>
      <c r="AF20" s="422">
        <v>0.8</v>
      </c>
      <c r="AG20" s="422">
        <v>0.6</v>
      </c>
      <c r="AH20" s="422">
        <v>0.5</v>
      </c>
      <c r="AI20" s="421">
        <v>0.6</v>
      </c>
      <c r="AJ20" s="421">
        <v>0.6</v>
      </c>
      <c r="AK20" s="421">
        <v>0.9</v>
      </c>
      <c r="AL20" s="421">
        <v>0.6</v>
      </c>
      <c r="AM20" s="421">
        <v>0.4</v>
      </c>
    </row>
    <row r="21" spans="1:39" ht="12.75">
      <c r="A21" s="420" t="s">
        <v>255</v>
      </c>
      <c r="B21" s="421">
        <v>1</v>
      </c>
      <c r="C21" s="421">
        <v>1.1</v>
      </c>
      <c r="D21" s="421">
        <v>1.1</v>
      </c>
      <c r="E21" s="421">
        <v>0.8</v>
      </c>
      <c r="F21" s="421">
        <v>1.2</v>
      </c>
      <c r="G21" s="421">
        <v>1.1</v>
      </c>
      <c r="H21" s="421">
        <v>1.2</v>
      </c>
      <c r="I21" s="421">
        <v>1.5</v>
      </c>
      <c r="J21" s="421">
        <v>1.4</v>
      </c>
      <c r="K21" s="421">
        <v>1.5</v>
      </c>
      <c r="L21" s="421">
        <v>1.4</v>
      </c>
      <c r="M21" s="421">
        <v>1.1</v>
      </c>
      <c r="N21" s="421">
        <v>1.2</v>
      </c>
      <c r="O21" s="421">
        <v>1.2</v>
      </c>
      <c r="P21" s="421">
        <v>1.2</v>
      </c>
      <c r="Q21" s="422">
        <v>1.1</v>
      </c>
      <c r="R21" s="422">
        <v>1.1</v>
      </c>
      <c r="S21" s="422">
        <v>1.2</v>
      </c>
      <c r="T21" s="422">
        <v>1.2</v>
      </c>
      <c r="U21" s="422">
        <v>1.3</v>
      </c>
      <c r="V21" s="422">
        <v>1.4</v>
      </c>
      <c r="W21" s="422">
        <v>1.2</v>
      </c>
      <c r="X21" s="422">
        <v>1.1</v>
      </c>
      <c r="Y21" s="422">
        <v>1.4</v>
      </c>
      <c r="Z21" s="422">
        <v>1.5</v>
      </c>
      <c r="AA21" s="391">
        <v>2</v>
      </c>
      <c r="AB21" s="422">
        <v>2.2</v>
      </c>
      <c r="AC21" s="391">
        <v>1.9</v>
      </c>
      <c r="AD21" s="422">
        <v>2.5</v>
      </c>
      <c r="AE21" s="422">
        <v>2.4</v>
      </c>
      <c r="AF21" s="391">
        <v>2.2</v>
      </c>
      <c r="AG21" s="422">
        <v>2.6</v>
      </c>
      <c r="AH21" s="422">
        <v>2.8</v>
      </c>
      <c r="AI21" s="421">
        <v>2.3</v>
      </c>
      <c r="AJ21" s="421">
        <v>3.2</v>
      </c>
      <c r="AK21" s="421">
        <v>2.1</v>
      </c>
      <c r="AL21" s="421">
        <v>2.3</v>
      </c>
      <c r="AM21" s="421">
        <v>2.2</v>
      </c>
    </row>
    <row r="22" spans="1:39" ht="12.75">
      <c r="A22" s="420" t="s">
        <v>232</v>
      </c>
      <c r="B22" s="421">
        <v>1.1</v>
      </c>
      <c r="C22" s="421">
        <v>1.6</v>
      </c>
      <c r="D22" s="421">
        <v>1.9</v>
      </c>
      <c r="E22" s="421">
        <v>1.4</v>
      </c>
      <c r="F22" s="421">
        <v>1.8</v>
      </c>
      <c r="G22" s="421">
        <v>1.5</v>
      </c>
      <c r="H22" s="421">
        <v>1.5</v>
      </c>
      <c r="I22" s="421">
        <v>1.9</v>
      </c>
      <c r="J22" s="424">
        <v>3</v>
      </c>
      <c r="K22" s="421">
        <v>2.6</v>
      </c>
      <c r="L22" s="421">
        <v>2.5</v>
      </c>
      <c r="M22" s="421">
        <v>2.3</v>
      </c>
      <c r="N22" s="421">
        <v>2.5</v>
      </c>
      <c r="O22" s="421">
        <v>2.7</v>
      </c>
      <c r="P22" s="421">
        <v>2.2</v>
      </c>
      <c r="Q22" s="422">
        <v>2.2</v>
      </c>
      <c r="R22" s="422">
        <v>2.5</v>
      </c>
      <c r="S22" s="422">
        <v>2.4</v>
      </c>
      <c r="T22" s="422">
        <v>2.7</v>
      </c>
      <c r="U22" s="391">
        <v>3</v>
      </c>
      <c r="V22" s="422">
        <v>2.6</v>
      </c>
      <c r="W22" s="422">
        <v>2.5</v>
      </c>
      <c r="X22" s="391">
        <v>2.8</v>
      </c>
      <c r="Y22" s="422">
        <v>3.1</v>
      </c>
      <c r="Z22" s="391">
        <v>2.7</v>
      </c>
      <c r="AA22" s="422">
        <v>3.1</v>
      </c>
      <c r="AB22" s="422">
        <v>2.8</v>
      </c>
      <c r="AC22" s="422">
        <v>2.4</v>
      </c>
      <c r="AD22" s="422">
        <v>2.6</v>
      </c>
      <c r="AE22" s="422">
        <v>2.7</v>
      </c>
      <c r="AF22" s="422">
        <v>2.5</v>
      </c>
      <c r="AG22" s="422">
        <v>2.4</v>
      </c>
      <c r="AH22" s="422">
        <v>2.6</v>
      </c>
      <c r="AI22" s="421">
        <v>2.3</v>
      </c>
      <c r="AJ22" s="421">
        <v>2.6</v>
      </c>
      <c r="AK22" s="421">
        <v>2.8</v>
      </c>
      <c r="AL22" s="421">
        <v>2.4</v>
      </c>
      <c r="AM22" s="421">
        <v>2.1</v>
      </c>
    </row>
    <row r="23" spans="2:22" ht="12.75"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</row>
    <row r="24" spans="1:22" ht="12.75">
      <c r="A24" s="430" t="s">
        <v>267</v>
      </c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</row>
    <row r="25" spans="2:21" ht="12.75">
      <c r="B25" s="431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31"/>
      <c r="T25" s="431"/>
      <c r="U25" s="4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"/>
  <sheetViews>
    <sheetView showGridLines="0" zoomScalePageLayoutView="0" workbookViewId="0" topLeftCell="A1">
      <pane xSplit="1" ySplit="1" topLeftCell="AE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1" sqref="A1"/>
    </sheetView>
  </sheetViews>
  <sheetFormatPr defaultColWidth="9.28125" defaultRowHeight="12.75"/>
  <cols>
    <col min="1" max="1" width="40.00390625" style="434" customWidth="1"/>
    <col min="2" max="2" width="8.00390625" style="434" customWidth="1"/>
    <col min="3" max="3" width="0.9921875" style="382" customWidth="1"/>
    <col min="4" max="9" width="8.00390625" style="434" customWidth="1"/>
    <col min="10" max="10" width="0.9921875" style="382" customWidth="1"/>
    <col min="11" max="16" width="8.00390625" style="434" customWidth="1"/>
    <col min="17" max="17" width="0.9921875" style="382" customWidth="1"/>
    <col min="18" max="23" width="8.00390625" style="434" customWidth="1"/>
    <col min="24" max="24" width="0.9921875" style="382" customWidth="1"/>
    <col min="25" max="28" width="8.00390625" style="434" customWidth="1"/>
    <col min="29" max="29" width="8.421875" style="434" customWidth="1"/>
    <col min="30" max="30" width="7.57421875" style="434" customWidth="1"/>
    <col min="31" max="16384" width="9.28125" style="434" customWidth="1"/>
  </cols>
  <sheetData>
    <row r="1" spans="1:36" ht="38.25">
      <c r="A1" s="432" t="s">
        <v>162</v>
      </c>
      <c r="B1" s="377">
        <v>2015</v>
      </c>
      <c r="C1" s="433"/>
      <c r="D1" s="378" t="s">
        <v>11</v>
      </c>
      <c r="E1" s="378" t="s">
        <v>12</v>
      </c>
      <c r="F1" s="378" t="s">
        <v>13</v>
      </c>
      <c r="G1" s="378" t="s">
        <v>14</v>
      </c>
      <c r="H1" s="378">
        <v>2016</v>
      </c>
      <c r="I1" s="377" t="s">
        <v>163</v>
      </c>
      <c r="J1" s="433"/>
      <c r="K1" s="378" t="s">
        <v>55</v>
      </c>
      <c r="L1" s="378" t="s">
        <v>56</v>
      </c>
      <c r="M1" s="378" t="s">
        <v>60</v>
      </c>
      <c r="N1" s="378" t="s">
        <v>61</v>
      </c>
      <c r="O1" s="378">
        <v>2017</v>
      </c>
      <c r="P1" s="377" t="s">
        <v>185</v>
      </c>
      <c r="Q1" s="433"/>
      <c r="R1" s="378" t="s">
        <v>186</v>
      </c>
      <c r="S1" s="378" t="s">
        <v>190</v>
      </c>
      <c r="T1" s="378" t="s">
        <v>195</v>
      </c>
      <c r="U1" s="378" t="s">
        <v>202</v>
      </c>
      <c r="V1" s="378">
        <v>2018</v>
      </c>
      <c r="W1" s="377" t="s">
        <v>217</v>
      </c>
      <c r="X1" s="433"/>
      <c r="Y1" s="378" t="s">
        <v>250</v>
      </c>
      <c r="Z1" s="378" t="s">
        <v>251</v>
      </c>
      <c r="AA1" s="378" t="s">
        <v>276</v>
      </c>
      <c r="AB1" s="378" t="s">
        <v>278</v>
      </c>
      <c r="AC1" s="377">
        <v>2019</v>
      </c>
      <c r="AD1" s="377" t="s">
        <v>280</v>
      </c>
      <c r="AE1" s="377" t="s">
        <v>283</v>
      </c>
      <c r="AF1" s="377" t="s">
        <v>290</v>
      </c>
      <c r="AG1" s="377" t="s">
        <v>294</v>
      </c>
      <c r="AH1" s="377" t="s">
        <v>297</v>
      </c>
      <c r="AI1" s="377">
        <v>2020</v>
      </c>
      <c r="AJ1" s="377" t="s">
        <v>317</v>
      </c>
    </row>
    <row r="2" spans="1:33" s="435" customFormat="1" ht="16.5" customHeight="1">
      <c r="A2" s="379" t="s">
        <v>87</v>
      </c>
      <c r="B2" s="380"/>
      <c r="C2" s="381"/>
      <c r="D2" s="380"/>
      <c r="E2" s="380"/>
      <c r="F2" s="380"/>
      <c r="G2" s="380"/>
      <c r="H2" s="380"/>
      <c r="I2" s="380"/>
      <c r="J2" s="381"/>
      <c r="K2" s="380"/>
      <c r="L2" s="380"/>
      <c r="M2" s="380"/>
      <c r="N2" s="380"/>
      <c r="O2" s="380"/>
      <c r="P2" s="380"/>
      <c r="Q2" s="381"/>
      <c r="R2" s="380"/>
      <c r="S2" s="380"/>
      <c r="T2" s="380"/>
      <c r="U2" s="380"/>
      <c r="V2" s="380"/>
      <c r="W2" s="380"/>
      <c r="X2" s="381"/>
      <c r="Y2" s="380"/>
      <c r="Z2" s="380"/>
      <c r="AA2" s="380"/>
      <c r="AB2" s="380"/>
      <c r="AC2" s="380"/>
      <c r="AD2" s="380"/>
      <c r="AE2" s="380"/>
      <c r="AF2" s="380"/>
      <c r="AG2" s="380"/>
    </row>
    <row r="3" spans="1:36" ht="13.5" thickBot="1">
      <c r="A3" s="383" t="s">
        <v>164</v>
      </c>
      <c r="B3" s="436">
        <v>294.4</v>
      </c>
      <c r="C3" s="385"/>
      <c r="D3" s="386">
        <v>50.6</v>
      </c>
      <c r="E3" s="384">
        <v>58.5</v>
      </c>
      <c r="F3" s="384">
        <v>56.7</v>
      </c>
      <c r="G3" s="384">
        <v>80.5</v>
      </c>
      <c r="H3" s="384">
        <v>246.4</v>
      </c>
      <c r="I3" s="387">
        <f aca="true" t="shared" si="0" ref="I3:I11">H3/B3-1</f>
        <v>-0.1630434782608695</v>
      </c>
      <c r="J3" s="388"/>
      <c r="K3" s="386">
        <v>51</v>
      </c>
      <c r="L3" s="384">
        <v>55.4</v>
      </c>
      <c r="M3" s="384">
        <v>53.222</v>
      </c>
      <c r="N3" s="384">
        <v>73.9</v>
      </c>
      <c r="O3" s="384">
        <v>233.5</v>
      </c>
      <c r="P3" s="437">
        <f aca="true" t="shared" si="1" ref="P3:P11">O3/H3-1</f>
        <v>-0.05235389610389618</v>
      </c>
      <c r="Q3" s="389"/>
      <c r="R3" s="386">
        <v>34.512</v>
      </c>
      <c r="S3" s="384">
        <v>47.3</v>
      </c>
      <c r="T3" s="384">
        <v>58.5</v>
      </c>
      <c r="U3" s="384">
        <v>74.1</v>
      </c>
      <c r="V3" s="384">
        <v>214.3</v>
      </c>
      <c r="W3" s="438">
        <f>V3/O3-1</f>
        <v>-0.08222698072805135</v>
      </c>
      <c r="X3" s="390"/>
      <c r="Y3" s="386">
        <v>67.1</v>
      </c>
      <c r="Z3" s="391">
        <v>71.4</v>
      </c>
      <c r="AA3" s="391">
        <v>63.8</v>
      </c>
      <c r="AB3" s="391">
        <v>73.4</v>
      </c>
      <c r="AC3" s="391">
        <v>275.7</v>
      </c>
      <c r="AD3" s="437">
        <f>AC3/V3-1</f>
        <v>0.2865142323845076</v>
      </c>
      <c r="AE3" s="391">
        <v>67.5</v>
      </c>
      <c r="AF3" s="391">
        <v>80.3</v>
      </c>
      <c r="AG3" s="391">
        <v>63.9</v>
      </c>
      <c r="AH3" s="400">
        <v>89</v>
      </c>
      <c r="AI3" s="439">
        <v>300.7</v>
      </c>
      <c r="AJ3" s="440">
        <f>AI3/AC3-1</f>
        <v>0.09067827348567281</v>
      </c>
    </row>
    <row r="4" spans="1:36" ht="13.5" thickBot="1">
      <c r="A4" s="383" t="s">
        <v>312</v>
      </c>
      <c r="B4" s="441">
        <v>264.8</v>
      </c>
      <c r="C4" s="385"/>
      <c r="D4" s="386">
        <v>65.6</v>
      </c>
      <c r="E4" s="405">
        <v>73.6</v>
      </c>
      <c r="F4" s="405">
        <v>69.8</v>
      </c>
      <c r="G4" s="405">
        <v>56</v>
      </c>
      <c r="H4" s="405">
        <v>265.1</v>
      </c>
      <c r="I4" s="406">
        <f t="shared" si="0"/>
        <v>0.0011329305135951984</v>
      </c>
      <c r="J4" s="388"/>
      <c r="K4" s="386">
        <v>65.6</v>
      </c>
      <c r="L4" s="405">
        <v>66.8</v>
      </c>
      <c r="M4" s="405">
        <v>64.3</v>
      </c>
      <c r="N4" s="405">
        <v>63.201</v>
      </c>
      <c r="O4" s="405">
        <v>259.9</v>
      </c>
      <c r="P4" s="442">
        <f t="shared" si="1"/>
        <v>-0.019615239532252193</v>
      </c>
      <c r="Q4" s="389"/>
      <c r="R4" s="386">
        <v>64.734</v>
      </c>
      <c r="S4" s="405">
        <v>65.2</v>
      </c>
      <c r="T4" s="405">
        <v>68.3</v>
      </c>
      <c r="U4" s="405">
        <v>66.4</v>
      </c>
      <c r="V4" s="405">
        <v>264.6</v>
      </c>
      <c r="W4" s="443">
        <f>V4/O4-1</f>
        <v>0.01808387841477499</v>
      </c>
      <c r="X4" s="390"/>
      <c r="Y4" s="386">
        <v>63.8</v>
      </c>
      <c r="Z4" s="391">
        <v>69.7</v>
      </c>
      <c r="AA4" s="391">
        <v>66.8</v>
      </c>
      <c r="AB4" s="391">
        <v>65.1</v>
      </c>
      <c r="AC4" s="391">
        <v>265.3</v>
      </c>
      <c r="AD4" s="443">
        <f aca="true" t="shared" si="2" ref="AD4:AD10">AC4/V4-1</f>
        <v>0.002645502645502562</v>
      </c>
      <c r="AE4" s="391">
        <v>63.5</v>
      </c>
      <c r="AF4" s="391">
        <v>63.6</v>
      </c>
      <c r="AG4" s="391">
        <v>62.9</v>
      </c>
      <c r="AH4" s="444">
        <v>66.3</v>
      </c>
      <c r="AI4" s="444">
        <v>256.4</v>
      </c>
      <c r="AJ4" s="440">
        <f>AI4/AC4-1</f>
        <v>-0.033546928006030985</v>
      </c>
    </row>
    <row r="5" spans="1:36" ht="13.5" thickBot="1">
      <c r="A5" s="383" t="s">
        <v>197</v>
      </c>
      <c r="B5" s="441">
        <v>0</v>
      </c>
      <c r="C5" s="385"/>
      <c r="D5" s="386" t="s">
        <v>201</v>
      </c>
      <c r="E5" s="405" t="s">
        <v>201</v>
      </c>
      <c r="F5" s="405" t="s">
        <v>201</v>
      </c>
      <c r="G5" s="405" t="s">
        <v>201</v>
      </c>
      <c r="H5" s="405">
        <v>35.2</v>
      </c>
      <c r="I5" s="406" t="s">
        <v>201</v>
      </c>
      <c r="J5" s="388"/>
      <c r="K5" s="386">
        <v>-0.3</v>
      </c>
      <c r="L5" s="405">
        <v>0</v>
      </c>
      <c r="M5" s="405">
        <v>0</v>
      </c>
      <c r="N5" s="405">
        <v>0</v>
      </c>
      <c r="O5" s="405">
        <v>-0.3</v>
      </c>
      <c r="P5" s="442" t="s">
        <v>198</v>
      </c>
      <c r="Q5" s="389"/>
      <c r="R5" s="386">
        <v>0</v>
      </c>
      <c r="S5" s="405">
        <v>11.3</v>
      </c>
      <c r="T5" s="405">
        <v>6.8</v>
      </c>
      <c r="U5" s="405">
        <v>4.2</v>
      </c>
      <c r="V5" s="405">
        <v>22.3</v>
      </c>
      <c r="W5" s="443" t="s">
        <v>201</v>
      </c>
      <c r="X5" s="390"/>
      <c r="Y5" s="386">
        <v>0</v>
      </c>
      <c r="Z5" s="391">
        <v>0</v>
      </c>
      <c r="AA5" s="391">
        <v>0</v>
      </c>
      <c r="AB5" s="391">
        <v>0</v>
      </c>
      <c r="AC5" s="391">
        <v>0</v>
      </c>
      <c r="AD5" s="445" t="s">
        <v>34</v>
      </c>
      <c r="AE5" s="391">
        <v>0</v>
      </c>
      <c r="AF5" s="391">
        <v>0</v>
      </c>
      <c r="AG5" s="391">
        <v>0</v>
      </c>
      <c r="AH5" s="400">
        <v>0</v>
      </c>
      <c r="AI5" s="400">
        <v>0</v>
      </c>
      <c r="AJ5" s="446" t="s">
        <v>34</v>
      </c>
    </row>
    <row r="6" spans="1:36" ht="13.5" thickBot="1">
      <c r="A6" s="383" t="s">
        <v>313</v>
      </c>
      <c r="B6" s="441">
        <v>12.2</v>
      </c>
      <c r="C6" s="385"/>
      <c r="D6" s="386">
        <v>3.3</v>
      </c>
      <c r="E6" s="405">
        <v>3.4</v>
      </c>
      <c r="F6" s="405">
        <v>3.5</v>
      </c>
      <c r="G6" s="405">
        <v>2.8</v>
      </c>
      <c r="H6" s="405">
        <v>13.1</v>
      </c>
      <c r="I6" s="406">
        <f t="shared" si="0"/>
        <v>0.07377049180327866</v>
      </c>
      <c r="J6" s="388"/>
      <c r="K6" s="386">
        <v>3</v>
      </c>
      <c r="L6" s="405">
        <v>3.3</v>
      </c>
      <c r="M6" s="405">
        <v>3.2</v>
      </c>
      <c r="N6" s="405">
        <v>3.4</v>
      </c>
      <c r="O6" s="405">
        <v>12.9</v>
      </c>
      <c r="P6" s="442">
        <f t="shared" si="1"/>
        <v>-0.015267175572518998</v>
      </c>
      <c r="Q6" s="389"/>
      <c r="R6" s="386">
        <v>3.23</v>
      </c>
      <c r="S6" s="405">
        <v>3.3</v>
      </c>
      <c r="T6" s="405">
        <v>3.5</v>
      </c>
      <c r="U6" s="405">
        <v>3</v>
      </c>
      <c r="V6" s="405">
        <v>13.2</v>
      </c>
      <c r="W6" s="443">
        <f>V6/O6-1</f>
        <v>0.02325581395348819</v>
      </c>
      <c r="X6" s="390"/>
      <c r="Y6" s="386">
        <v>4.3</v>
      </c>
      <c r="Z6" s="391">
        <v>3.6</v>
      </c>
      <c r="AA6" s="391">
        <v>4.2</v>
      </c>
      <c r="AB6" s="391">
        <v>3.8</v>
      </c>
      <c r="AC6" s="391">
        <v>16</v>
      </c>
      <c r="AD6" s="443">
        <f t="shared" si="2"/>
        <v>0.21212121212121215</v>
      </c>
      <c r="AE6" s="391">
        <v>1.1</v>
      </c>
      <c r="AF6" s="391">
        <v>0.9</v>
      </c>
      <c r="AG6" s="391">
        <v>1.1</v>
      </c>
      <c r="AH6" s="439">
        <v>0.8</v>
      </c>
      <c r="AI6" s="439">
        <v>3.9</v>
      </c>
      <c r="AJ6" s="440">
        <f>AI6/AC6-1</f>
        <v>-0.75625</v>
      </c>
    </row>
    <row r="7" spans="1:36" s="460" customFormat="1" ht="13.5" thickBot="1">
      <c r="A7" s="447" t="s">
        <v>200</v>
      </c>
      <c r="B7" s="448">
        <v>571.4</v>
      </c>
      <c r="C7" s="449"/>
      <c r="D7" s="450" t="s">
        <v>165</v>
      </c>
      <c r="E7" s="451">
        <v>135.6</v>
      </c>
      <c r="F7" s="451">
        <v>130.1</v>
      </c>
      <c r="G7" s="451">
        <v>139.2</v>
      </c>
      <c r="H7" s="451">
        <f>SUM(H3:H6)</f>
        <v>559.8000000000001</v>
      </c>
      <c r="I7" s="452">
        <f t="shared" si="0"/>
        <v>-0.020301015050752325</v>
      </c>
      <c r="J7" s="453"/>
      <c r="K7" s="450">
        <v>119.3</v>
      </c>
      <c r="L7" s="451">
        <f>SUM(L3:L6)</f>
        <v>125.49999999999999</v>
      </c>
      <c r="M7" s="451">
        <f>SUM(M3:M6)</f>
        <v>120.722</v>
      </c>
      <c r="N7" s="451">
        <f>ROUND(SUM(N3:N6),2)</f>
        <v>140.5</v>
      </c>
      <c r="O7" s="451">
        <f>SUM(O3:O6)</f>
        <v>505.99999999999994</v>
      </c>
      <c r="P7" s="454">
        <f t="shared" si="1"/>
        <v>-0.09610575205430527</v>
      </c>
      <c r="Q7" s="455"/>
      <c r="R7" s="450">
        <f>SUM(R3:R6)</f>
        <v>102.476</v>
      </c>
      <c r="S7" s="451">
        <f>SUM(S3:S6)</f>
        <v>127.1</v>
      </c>
      <c r="T7" s="451">
        <f>SUM(T3:T6)</f>
        <v>137.1</v>
      </c>
      <c r="U7" s="451">
        <f>SUM(U3:U6)</f>
        <v>147.7</v>
      </c>
      <c r="V7" s="451">
        <v>514.4</v>
      </c>
      <c r="W7" s="456">
        <f>V7/O7-1</f>
        <v>0.01660079051383412</v>
      </c>
      <c r="X7" s="457"/>
      <c r="Y7" s="450">
        <f>SUM(Y3:Y6)</f>
        <v>135.2</v>
      </c>
      <c r="Z7" s="458">
        <f>SUM(Z3:Z6)</f>
        <v>144.70000000000002</v>
      </c>
      <c r="AA7" s="458">
        <f>SUM(AA3:AA6)</f>
        <v>134.79999999999998</v>
      </c>
      <c r="AB7" s="458">
        <f>SUM(AB3:AB6)</f>
        <v>142.3</v>
      </c>
      <c r="AC7" s="458">
        <f>SUM(AC3:AC6)</f>
        <v>557</v>
      </c>
      <c r="AD7" s="456">
        <f t="shared" si="2"/>
        <v>0.08281493001555207</v>
      </c>
      <c r="AE7" s="458">
        <f>SUM(AE3:AE6)</f>
        <v>132.1</v>
      </c>
      <c r="AF7" s="458">
        <f>SUM(AF3:AF6)</f>
        <v>144.8</v>
      </c>
      <c r="AG7" s="458">
        <f>SUM(AG3:AG6)</f>
        <v>127.89999999999999</v>
      </c>
      <c r="AH7" s="459">
        <f>SUM(AH3:AH6)</f>
        <v>156.10000000000002</v>
      </c>
      <c r="AI7" s="459">
        <v>561</v>
      </c>
      <c r="AJ7" s="440">
        <f>AI7/AC7-1</f>
        <v>0.007181328545780907</v>
      </c>
    </row>
    <row r="8" spans="1:36" ht="13.5" thickBot="1">
      <c r="A8" s="383" t="s">
        <v>166</v>
      </c>
      <c r="B8" s="461">
        <v>1245</v>
      </c>
      <c r="C8" s="385"/>
      <c r="D8" s="386">
        <v>216.4</v>
      </c>
      <c r="E8" s="405">
        <v>328.1</v>
      </c>
      <c r="F8" s="405">
        <v>301.2</v>
      </c>
      <c r="G8" s="405">
        <v>343</v>
      </c>
      <c r="H8" s="461">
        <v>1188.7</v>
      </c>
      <c r="I8" s="406">
        <f t="shared" si="0"/>
        <v>-0.04522088353413656</v>
      </c>
      <c r="J8" s="388"/>
      <c r="K8" s="386">
        <v>247</v>
      </c>
      <c r="L8" s="405">
        <v>308</v>
      </c>
      <c r="M8" s="405">
        <v>258</v>
      </c>
      <c r="N8" s="405">
        <v>372</v>
      </c>
      <c r="O8" s="405">
        <v>1185</v>
      </c>
      <c r="P8" s="442">
        <f t="shared" si="1"/>
        <v>-0.003112644064944936</v>
      </c>
      <c r="Q8" s="389"/>
      <c r="R8" s="386">
        <v>207</v>
      </c>
      <c r="S8" s="405">
        <v>245</v>
      </c>
      <c r="T8" s="405">
        <v>349.9</v>
      </c>
      <c r="U8" s="405">
        <v>344.8</v>
      </c>
      <c r="V8" s="405">
        <v>1146.8</v>
      </c>
      <c r="W8" s="443">
        <f>V8/O8-1</f>
        <v>-0.03223628691983127</v>
      </c>
      <c r="X8" s="390"/>
      <c r="Y8" s="386">
        <v>325.3</v>
      </c>
      <c r="Z8" s="391">
        <v>380.5</v>
      </c>
      <c r="AA8" s="391">
        <v>323.3</v>
      </c>
      <c r="AB8" s="391">
        <v>363.7</v>
      </c>
      <c r="AC8" s="462">
        <v>1393</v>
      </c>
      <c r="AD8" s="443">
        <f t="shared" si="2"/>
        <v>0.21468433903034545</v>
      </c>
      <c r="AE8" s="391">
        <v>345.3</v>
      </c>
      <c r="AF8" s="391">
        <v>364</v>
      </c>
      <c r="AG8" s="391">
        <v>280.7</v>
      </c>
      <c r="AH8" s="463">
        <v>379</v>
      </c>
      <c r="AI8" s="463">
        <v>1369</v>
      </c>
      <c r="AJ8" s="440">
        <f>AI8/AC8-1</f>
        <v>-0.017229002153625217</v>
      </c>
    </row>
    <row r="9" spans="1:36" ht="13.5" thickBot="1">
      <c r="A9" s="383" t="s">
        <v>199</v>
      </c>
      <c r="B9" s="441">
        <v>0</v>
      </c>
      <c r="C9" s="385"/>
      <c r="D9" s="386" t="s">
        <v>201</v>
      </c>
      <c r="E9" s="405" t="s">
        <v>201</v>
      </c>
      <c r="F9" s="405" t="s">
        <v>201</v>
      </c>
      <c r="G9" s="405" t="s">
        <v>201</v>
      </c>
      <c r="H9" s="405">
        <v>91</v>
      </c>
      <c r="I9" s="406" t="s">
        <v>198</v>
      </c>
      <c r="J9" s="388"/>
      <c r="K9" s="386">
        <v>0</v>
      </c>
      <c r="L9" s="405">
        <v>0</v>
      </c>
      <c r="M9" s="405">
        <v>0</v>
      </c>
      <c r="N9" s="405">
        <v>0</v>
      </c>
      <c r="O9" s="405">
        <v>0</v>
      </c>
      <c r="P9" s="442" t="s">
        <v>198</v>
      </c>
      <c r="Q9" s="389"/>
      <c r="R9" s="386">
        <v>0</v>
      </c>
      <c r="S9" s="405">
        <v>33.8</v>
      </c>
      <c r="T9" s="405">
        <v>33.2</v>
      </c>
      <c r="U9" s="405">
        <v>13.5</v>
      </c>
      <c r="V9" s="405">
        <v>80.6</v>
      </c>
      <c r="W9" s="443" t="s">
        <v>201</v>
      </c>
      <c r="X9" s="390"/>
      <c r="Y9" s="386">
        <v>0</v>
      </c>
      <c r="Z9" s="391">
        <v>0</v>
      </c>
      <c r="AA9" s="391">
        <v>0</v>
      </c>
      <c r="AB9" s="391">
        <v>0</v>
      </c>
      <c r="AC9" s="391">
        <v>0</v>
      </c>
      <c r="AD9" s="445" t="s">
        <v>34</v>
      </c>
      <c r="AE9" s="391">
        <v>0</v>
      </c>
      <c r="AF9" s="391">
        <v>0</v>
      </c>
      <c r="AG9" s="391">
        <v>0</v>
      </c>
      <c r="AH9" s="400">
        <v>0</v>
      </c>
      <c r="AI9" s="400">
        <v>0</v>
      </c>
      <c r="AJ9" s="446" t="s">
        <v>34</v>
      </c>
    </row>
    <row r="10" spans="1:36" ht="13.5" thickBot="1">
      <c r="A10" s="383" t="s">
        <v>167</v>
      </c>
      <c r="B10" s="461">
        <v>2660</v>
      </c>
      <c r="C10" s="385"/>
      <c r="D10" s="386">
        <v>857</v>
      </c>
      <c r="E10" s="405">
        <v>751</v>
      </c>
      <c r="F10" s="461">
        <v>1032</v>
      </c>
      <c r="G10" s="405">
        <v>859</v>
      </c>
      <c r="H10" s="461">
        <v>3499</v>
      </c>
      <c r="I10" s="406">
        <f t="shared" si="0"/>
        <v>0.3154135338345865</v>
      </c>
      <c r="J10" s="388"/>
      <c r="K10" s="386">
        <v>960</v>
      </c>
      <c r="L10" s="405">
        <v>865</v>
      </c>
      <c r="M10" s="405">
        <v>908</v>
      </c>
      <c r="N10" s="405">
        <v>909</v>
      </c>
      <c r="O10" s="405">
        <f>SUM(K10:N10)</f>
        <v>3642</v>
      </c>
      <c r="P10" s="442">
        <f t="shared" si="1"/>
        <v>0.04086881966276068</v>
      </c>
      <c r="Q10" s="389"/>
      <c r="R10" s="386">
        <v>631.2</v>
      </c>
      <c r="S10" s="405">
        <v>589</v>
      </c>
      <c r="T10" s="405">
        <v>708</v>
      </c>
      <c r="U10" s="405">
        <v>679</v>
      </c>
      <c r="V10" s="461">
        <v>2607</v>
      </c>
      <c r="W10" s="443">
        <f>V10/O10-1</f>
        <v>-0.2841845140032949</v>
      </c>
      <c r="X10" s="390"/>
      <c r="Y10" s="386">
        <v>631</v>
      </c>
      <c r="Z10" s="391">
        <v>945</v>
      </c>
      <c r="AA10" s="391">
        <v>560</v>
      </c>
      <c r="AB10" s="462">
        <v>1017</v>
      </c>
      <c r="AC10" s="462">
        <v>3154</v>
      </c>
      <c r="AD10" s="443">
        <f t="shared" si="2"/>
        <v>0.20981971614883</v>
      </c>
      <c r="AE10" s="391">
        <v>946</v>
      </c>
      <c r="AF10" s="391">
        <v>615</v>
      </c>
      <c r="AG10" s="391">
        <v>532</v>
      </c>
      <c r="AH10" s="463">
        <v>1021</v>
      </c>
      <c r="AI10" s="463">
        <v>3115</v>
      </c>
      <c r="AJ10" s="440">
        <f>AI10/AC10-1</f>
        <v>-0.012365250475586564</v>
      </c>
    </row>
    <row r="11" spans="1:36" ht="13.5" thickBot="1">
      <c r="A11" s="383" t="s">
        <v>168</v>
      </c>
      <c r="B11" s="441">
        <v>30.4</v>
      </c>
      <c r="C11" s="385"/>
      <c r="D11" s="386">
        <v>7.4</v>
      </c>
      <c r="E11" s="405">
        <v>8.2</v>
      </c>
      <c r="F11" s="405">
        <v>6.2</v>
      </c>
      <c r="G11" s="405">
        <v>7.8</v>
      </c>
      <c r="H11" s="405">
        <v>29.7</v>
      </c>
      <c r="I11" s="406">
        <f t="shared" si="0"/>
        <v>-0.023026315789473673</v>
      </c>
      <c r="J11" s="388"/>
      <c r="K11" s="386">
        <v>7.6</v>
      </c>
      <c r="L11" s="405">
        <v>7</v>
      </c>
      <c r="M11" s="405">
        <v>7.5</v>
      </c>
      <c r="N11" s="405">
        <v>7.5</v>
      </c>
      <c r="O11" s="405">
        <v>29.6</v>
      </c>
      <c r="P11" s="442">
        <f t="shared" si="1"/>
        <v>-0.0033670033670032407</v>
      </c>
      <c r="Q11" s="389"/>
      <c r="R11" s="386">
        <v>7.4</v>
      </c>
      <c r="S11" s="405">
        <v>6.7</v>
      </c>
      <c r="T11" s="405">
        <v>7.8</v>
      </c>
      <c r="U11" s="405">
        <v>8.6</v>
      </c>
      <c r="V11" s="405">
        <v>30.5</v>
      </c>
      <c r="W11" s="443">
        <f>V11/O11-1</f>
        <v>0.03040540540540526</v>
      </c>
      <c r="X11" s="390"/>
      <c r="Y11" s="386">
        <v>7.8</v>
      </c>
      <c r="Z11" s="391">
        <v>7.2</v>
      </c>
      <c r="AA11" s="391">
        <v>6.6</v>
      </c>
      <c r="AB11" s="391">
        <v>8.3</v>
      </c>
      <c r="AC11" s="391">
        <v>30</v>
      </c>
      <c r="AD11" s="443">
        <f>AC11/V11-1</f>
        <v>-0.016393442622950838</v>
      </c>
      <c r="AE11" s="391">
        <v>7.4</v>
      </c>
      <c r="AF11" s="391">
        <v>7.2</v>
      </c>
      <c r="AG11" s="391">
        <v>6.7</v>
      </c>
      <c r="AH11" s="400">
        <v>7.7</v>
      </c>
      <c r="AI11" s="400">
        <v>29</v>
      </c>
      <c r="AJ11" s="440">
        <f>AI11/AC11-1</f>
        <v>-0.033333333333333326</v>
      </c>
    </row>
    <row r="12" spans="1:36" s="435" customFormat="1" ht="16.5" customHeight="1">
      <c r="A12" s="464" t="s">
        <v>169</v>
      </c>
      <c r="B12" s="405"/>
      <c r="C12" s="402"/>
      <c r="D12" s="405"/>
      <c r="E12" s="405"/>
      <c r="F12" s="405"/>
      <c r="G12" s="405"/>
      <c r="H12" s="405"/>
      <c r="I12" s="443"/>
      <c r="J12" s="390"/>
      <c r="K12" s="405"/>
      <c r="L12" s="405"/>
      <c r="M12" s="405"/>
      <c r="N12" s="405"/>
      <c r="O12" s="405"/>
      <c r="P12" s="442"/>
      <c r="Q12" s="389"/>
      <c r="R12" s="405"/>
      <c r="S12" s="405"/>
      <c r="T12" s="405"/>
      <c r="U12" s="405"/>
      <c r="V12" s="405"/>
      <c r="W12" s="443"/>
      <c r="X12" s="390"/>
      <c r="Y12" s="405"/>
      <c r="Z12" s="391"/>
      <c r="AA12" s="380"/>
      <c r="AB12" s="380"/>
      <c r="AC12" s="380"/>
      <c r="AD12" s="465"/>
      <c r="AE12" s="391"/>
      <c r="AF12" s="391"/>
      <c r="AG12" s="391"/>
      <c r="AH12" s="391"/>
      <c r="AI12" s="391"/>
      <c r="AJ12" s="391"/>
    </row>
    <row r="13" spans="1:36" ht="13.5" thickBot="1">
      <c r="A13" s="383" t="s">
        <v>170</v>
      </c>
      <c r="B13" s="441">
        <v>98.9</v>
      </c>
      <c r="C13" s="385"/>
      <c r="D13" s="386">
        <v>22.6</v>
      </c>
      <c r="E13" s="405">
        <v>22</v>
      </c>
      <c r="F13" s="405">
        <v>21.1</v>
      </c>
      <c r="G13" s="405">
        <v>24.6</v>
      </c>
      <c r="H13" s="405">
        <v>90.2</v>
      </c>
      <c r="I13" s="406">
        <f>H13/B13-1</f>
        <v>-0.0879676440849343</v>
      </c>
      <c r="J13" s="388"/>
      <c r="K13" s="386">
        <v>17.2</v>
      </c>
      <c r="L13" s="405">
        <v>19.2</v>
      </c>
      <c r="M13" s="405">
        <v>18.2</v>
      </c>
      <c r="N13" s="405">
        <v>25.4</v>
      </c>
      <c r="O13" s="405">
        <f>SUM(K13:N13)</f>
        <v>80</v>
      </c>
      <c r="P13" s="442">
        <f>O13/H13-1</f>
        <v>-0.11308203991130827</v>
      </c>
      <c r="Q13" s="389"/>
      <c r="R13" s="386">
        <v>17.3</v>
      </c>
      <c r="S13" s="405">
        <v>21.1</v>
      </c>
      <c r="T13" s="405">
        <v>18.3</v>
      </c>
      <c r="U13" s="405">
        <v>21.3</v>
      </c>
      <c r="V13" s="405">
        <v>78</v>
      </c>
      <c r="W13" s="443">
        <f>V13/O13-1</f>
        <v>-0.025000000000000022</v>
      </c>
      <c r="X13" s="390"/>
      <c r="Y13" s="386">
        <v>18</v>
      </c>
      <c r="Z13" s="391">
        <v>18.5</v>
      </c>
      <c r="AA13" s="391">
        <v>16.9</v>
      </c>
      <c r="AB13" s="391">
        <v>20.7</v>
      </c>
      <c r="AC13" s="391">
        <v>74.1</v>
      </c>
      <c r="AD13" s="443">
        <f aca="true" t="shared" si="3" ref="AD13:AD18">AC13/V13-1</f>
        <v>-0.050000000000000044</v>
      </c>
      <c r="AE13" s="391">
        <v>18</v>
      </c>
      <c r="AF13" s="391">
        <v>17</v>
      </c>
      <c r="AG13" s="391">
        <v>19.2</v>
      </c>
      <c r="AH13" s="400">
        <v>17.7</v>
      </c>
      <c r="AI13" s="400">
        <v>71.9</v>
      </c>
      <c r="AJ13" s="440">
        <f>AI13/AC13-1</f>
        <v>-0.029689608636976894</v>
      </c>
    </row>
    <row r="14" spans="1:36" ht="13.5" thickBot="1">
      <c r="A14" s="383" t="s">
        <v>171</v>
      </c>
      <c r="B14" s="441">
        <v>2.2</v>
      </c>
      <c r="C14" s="385"/>
      <c r="D14" s="386">
        <v>0.5</v>
      </c>
      <c r="E14" s="405">
        <v>0.6</v>
      </c>
      <c r="F14" s="405">
        <v>0.5</v>
      </c>
      <c r="G14" s="405">
        <v>0.5</v>
      </c>
      <c r="H14" s="405">
        <v>2.1</v>
      </c>
      <c r="I14" s="406">
        <f>H14/B14-1</f>
        <v>-0.045454545454545525</v>
      </c>
      <c r="J14" s="388"/>
      <c r="K14" s="386">
        <v>0.3</v>
      </c>
      <c r="L14" s="405">
        <v>0.3</v>
      </c>
      <c r="M14" s="405">
        <v>0.2</v>
      </c>
      <c r="N14" s="405">
        <v>0.3</v>
      </c>
      <c r="O14" s="405">
        <f>SUM(K14:N14)</f>
        <v>1.1</v>
      </c>
      <c r="P14" s="442">
        <f>O14/H14-1</f>
        <v>-0.47619047619047616</v>
      </c>
      <c r="Q14" s="389"/>
      <c r="R14" s="386">
        <v>0.2</v>
      </c>
      <c r="S14" s="405">
        <v>0.2</v>
      </c>
      <c r="T14" s="405">
        <v>0.3</v>
      </c>
      <c r="U14" s="405">
        <v>0.2</v>
      </c>
      <c r="V14" s="405">
        <v>0.9</v>
      </c>
      <c r="W14" s="443">
        <f>V14/O14-1</f>
        <v>-0.18181818181818188</v>
      </c>
      <c r="X14" s="390"/>
      <c r="Y14" s="386">
        <v>0.3</v>
      </c>
      <c r="Z14" s="391">
        <v>0.1</v>
      </c>
      <c r="AA14" s="391">
        <v>0.1</v>
      </c>
      <c r="AB14" s="391">
        <v>0.2</v>
      </c>
      <c r="AC14" s="391">
        <v>0.7</v>
      </c>
      <c r="AD14" s="443">
        <f t="shared" si="3"/>
        <v>-0.22222222222222232</v>
      </c>
      <c r="AE14" s="391">
        <v>0.1</v>
      </c>
      <c r="AF14" s="391">
        <v>0.1</v>
      </c>
      <c r="AG14" s="391">
        <v>0.1</v>
      </c>
      <c r="AH14" s="439">
        <v>0.1</v>
      </c>
      <c r="AI14" s="439">
        <v>0.4</v>
      </c>
      <c r="AJ14" s="440">
        <f>AI14/AC14-1</f>
        <v>-0.4285714285714285</v>
      </c>
    </row>
    <row r="15" spans="1:36" ht="13.5" thickBot="1">
      <c r="A15" s="383" t="s">
        <v>172</v>
      </c>
      <c r="B15" s="441">
        <v>97</v>
      </c>
      <c r="C15" s="385"/>
      <c r="D15" s="386">
        <v>23</v>
      </c>
      <c r="E15" s="405">
        <v>24.7</v>
      </c>
      <c r="F15" s="405">
        <v>21.7</v>
      </c>
      <c r="G15" s="405">
        <v>25</v>
      </c>
      <c r="H15" s="405">
        <v>94.3</v>
      </c>
      <c r="I15" s="406">
        <f>H15/B15-1</f>
        <v>-0.027835051546391765</v>
      </c>
      <c r="J15" s="388"/>
      <c r="K15" s="386">
        <v>13.8</v>
      </c>
      <c r="L15" s="405">
        <v>19.9</v>
      </c>
      <c r="M15" s="405">
        <v>17.1</v>
      </c>
      <c r="N15" s="405">
        <v>21.8</v>
      </c>
      <c r="O15" s="405">
        <f>SUM(K15:N15)</f>
        <v>72.60000000000001</v>
      </c>
      <c r="P15" s="442">
        <f>O15/H15-1</f>
        <v>-0.23011664899257678</v>
      </c>
      <c r="Q15" s="389"/>
      <c r="R15" s="386">
        <v>13.9</v>
      </c>
      <c r="S15" s="405">
        <v>17.7</v>
      </c>
      <c r="T15" s="405">
        <v>16.1</v>
      </c>
      <c r="U15" s="405">
        <v>18.3</v>
      </c>
      <c r="V15" s="405">
        <v>66</v>
      </c>
      <c r="W15" s="443">
        <f>V15/O15-1</f>
        <v>-0.09090909090909105</v>
      </c>
      <c r="X15" s="390"/>
      <c r="Y15" s="386">
        <v>17.2</v>
      </c>
      <c r="Z15" s="391">
        <v>17.9</v>
      </c>
      <c r="AA15" s="391">
        <v>18.4</v>
      </c>
      <c r="AB15" s="391">
        <v>24.2</v>
      </c>
      <c r="AC15" s="391">
        <v>77.7</v>
      </c>
      <c r="AD15" s="443">
        <f t="shared" si="3"/>
        <v>0.17727272727272725</v>
      </c>
      <c r="AE15" s="391">
        <v>21.2</v>
      </c>
      <c r="AF15" s="391">
        <v>19.9</v>
      </c>
      <c r="AG15" s="391">
        <v>17.5</v>
      </c>
      <c r="AH15" s="439">
        <v>12.7</v>
      </c>
      <c r="AI15" s="439">
        <v>71.3</v>
      </c>
      <c r="AJ15" s="440">
        <f>AI15/AC15-1</f>
        <v>-0.08236808236808246</v>
      </c>
    </row>
    <row r="16" spans="1:36" s="435" customFormat="1" ht="16.5" customHeight="1" thickBot="1">
      <c r="A16" s="464" t="s">
        <v>180</v>
      </c>
      <c r="B16" s="405"/>
      <c r="C16" s="402"/>
      <c r="D16" s="405"/>
      <c r="E16" s="405"/>
      <c r="F16" s="405"/>
      <c r="G16" s="405"/>
      <c r="H16" s="405"/>
      <c r="I16" s="406"/>
      <c r="J16" s="388"/>
      <c r="K16" s="405"/>
      <c r="L16" s="405"/>
      <c r="M16" s="405"/>
      <c r="N16" s="405"/>
      <c r="O16" s="405"/>
      <c r="P16" s="442"/>
      <c r="Q16" s="389"/>
      <c r="R16" s="405"/>
      <c r="S16" s="405"/>
      <c r="T16" s="405"/>
      <c r="U16" s="405"/>
      <c r="V16" s="405"/>
      <c r="W16" s="443"/>
      <c r="X16" s="390"/>
      <c r="Y16" s="405"/>
      <c r="Z16" s="391"/>
      <c r="AA16" s="380"/>
      <c r="AB16" s="391"/>
      <c r="AC16" s="391"/>
      <c r="AD16" s="466"/>
      <c r="AE16" s="391"/>
      <c r="AF16" s="391"/>
      <c r="AG16" s="391"/>
      <c r="AH16" s="467"/>
      <c r="AI16" s="467"/>
      <c r="AJ16" s="391"/>
    </row>
    <row r="17" spans="1:36" ht="13.5" thickBot="1">
      <c r="A17" s="383" t="s">
        <v>170</v>
      </c>
      <c r="B17" s="441">
        <v>28.2</v>
      </c>
      <c r="C17" s="385"/>
      <c r="D17" s="386">
        <v>12.6</v>
      </c>
      <c r="E17" s="405">
        <v>11.4</v>
      </c>
      <c r="F17" s="405">
        <v>13.6</v>
      </c>
      <c r="G17" s="405">
        <v>14.4</v>
      </c>
      <c r="H17" s="405">
        <v>52</v>
      </c>
      <c r="I17" s="406">
        <f>H17/B17-1</f>
        <v>0.8439716312056738</v>
      </c>
      <c r="J17" s="388"/>
      <c r="K17" s="386">
        <v>14.5</v>
      </c>
      <c r="L17" s="405">
        <v>13</v>
      </c>
      <c r="M17" s="405">
        <v>13.6</v>
      </c>
      <c r="N17" s="405">
        <v>13</v>
      </c>
      <c r="O17" s="405">
        <f>SUM(K17:N17)</f>
        <v>54.1</v>
      </c>
      <c r="P17" s="442">
        <f>O17/H17-1</f>
        <v>0.04038461538461546</v>
      </c>
      <c r="Q17" s="389"/>
      <c r="R17" s="386">
        <v>12.6</v>
      </c>
      <c r="S17" s="405">
        <v>10</v>
      </c>
      <c r="T17" s="405">
        <v>13.9</v>
      </c>
      <c r="U17" s="405">
        <v>15.6</v>
      </c>
      <c r="V17" s="405">
        <v>52.1</v>
      </c>
      <c r="W17" s="443">
        <f>V17/O17-1</f>
        <v>-0.0369685767097967</v>
      </c>
      <c r="X17" s="390"/>
      <c r="Y17" s="386">
        <v>14.3</v>
      </c>
      <c r="Z17" s="391">
        <v>16.1</v>
      </c>
      <c r="AA17" s="391">
        <v>15.8</v>
      </c>
      <c r="AB17" s="391">
        <v>15.02</v>
      </c>
      <c r="AC17" s="391">
        <v>61.215</v>
      </c>
      <c r="AD17" s="443">
        <f t="shared" si="3"/>
        <v>0.1749520153550863</v>
      </c>
      <c r="AE17" s="391">
        <v>14.9</v>
      </c>
      <c r="AF17" s="391">
        <v>23.1</v>
      </c>
      <c r="AG17" s="391">
        <v>18.7</v>
      </c>
      <c r="AH17" s="400">
        <v>24.5</v>
      </c>
      <c r="AI17" s="400">
        <v>81.2</v>
      </c>
      <c r="AJ17" s="440">
        <f>AI17/AC17-1</f>
        <v>0.3264722698684963</v>
      </c>
    </row>
    <row r="18" spans="1:36" ht="13.5" thickBot="1">
      <c r="A18" s="383" t="s">
        <v>181</v>
      </c>
      <c r="B18" s="441">
        <v>2.4</v>
      </c>
      <c r="C18" s="385"/>
      <c r="D18" s="386">
        <v>3.1</v>
      </c>
      <c r="E18" s="405">
        <v>4.8</v>
      </c>
      <c r="F18" s="405">
        <v>2</v>
      </c>
      <c r="G18" s="405">
        <v>3.4</v>
      </c>
      <c r="H18" s="405">
        <v>13.3</v>
      </c>
      <c r="I18" s="406">
        <f>H18/B18-1</f>
        <v>4.541666666666667</v>
      </c>
      <c r="J18" s="388"/>
      <c r="K18" s="386">
        <v>2.6</v>
      </c>
      <c r="L18" s="405">
        <v>4.6</v>
      </c>
      <c r="M18" s="405">
        <v>6</v>
      </c>
      <c r="N18" s="405">
        <v>6.2</v>
      </c>
      <c r="O18" s="405">
        <f>SUM(K18:N18)</f>
        <v>19.4</v>
      </c>
      <c r="P18" s="442">
        <v>0.47</v>
      </c>
      <c r="Q18" s="389"/>
      <c r="R18" s="386">
        <v>4.1</v>
      </c>
      <c r="S18" s="405">
        <v>4.2</v>
      </c>
      <c r="T18" s="405">
        <v>4.5</v>
      </c>
      <c r="U18" s="405">
        <v>4.1</v>
      </c>
      <c r="V18" s="405">
        <v>16.9</v>
      </c>
      <c r="W18" s="443">
        <f>V18/O18-1</f>
        <v>-0.12886597938144329</v>
      </c>
      <c r="X18" s="390"/>
      <c r="Y18" s="386">
        <v>3.4</v>
      </c>
      <c r="Z18" s="391">
        <v>2.4</v>
      </c>
      <c r="AA18" s="391">
        <v>3.2</v>
      </c>
      <c r="AB18" s="391">
        <v>2.695</v>
      </c>
      <c r="AC18" s="391">
        <v>11.7</v>
      </c>
      <c r="AD18" s="443">
        <f t="shared" si="3"/>
        <v>-0.3076923076923077</v>
      </c>
      <c r="AE18" s="391">
        <v>2.6</v>
      </c>
      <c r="AF18" s="391">
        <v>2</v>
      </c>
      <c r="AG18" s="391">
        <v>2.2</v>
      </c>
      <c r="AH18" s="400">
        <v>2.5</v>
      </c>
      <c r="AI18" s="400">
        <v>9.3</v>
      </c>
      <c r="AJ18" s="440">
        <f>AI18/AC18-1</f>
        <v>-0.20512820512820507</v>
      </c>
    </row>
    <row r="19" ht="12.75">
      <c r="A19" s="468"/>
    </row>
    <row r="20" ht="25.5">
      <c r="A20" s="479" t="s">
        <v>173</v>
      </c>
    </row>
    <row r="21" ht="12.75">
      <c r="A21" s="412" t="s">
        <v>174</v>
      </c>
    </row>
    <row r="22" spans="1:5" ht="63.75">
      <c r="A22" s="479" t="s">
        <v>311</v>
      </c>
      <c r="B22" s="469"/>
      <c r="C22" s="469"/>
      <c r="D22" s="469"/>
      <c r="E22" s="46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1"/>
  <ignoredErrors>
    <ignoredError sqref="Y7 AD7 N7" formula="1"/>
    <ignoredError sqref="D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"/>
  <sheetViews>
    <sheetView showGridLines="0" zoomScale="124" zoomScaleNormal="124" zoomScalePageLayoutView="0" workbookViewId="0" topLeftCell="A1">
      <pane xSplit="1" ySplit="1" topLeftCell="Z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28125" defaultRowHeight="12.75"/>
  <cols>
    <col min="1" max="1" width="25.421875" style="423" customWidth="1"/>
    <col min="2" max="34" width="6.7109375" style="423" customWidth="1"/>
    <col min="35" max="39" width="6.421875" style="423" customWidth="1"/>
    <col min="40" max="16384" width="9.28125" style="423" customWidth="1"/>
  </cols>
  <sheetData>
    <row r="1" spans="1:39" s="419" customFormat="1" ht="75.75" customHeight="1">
      <c r="A1" s="432" t="s">
        <v>314</v>
      </c>
      <c r="B1" s="470">
        <v>43101</v>
      </c>
      <c r="C1" s="470">
        <v>43132</v>
      </c>
      <c r="D1" s="470">
        <v>43160</v>
      </c>
      <c r="E1" s="470">
        <v>43191</v>
      </c>
      <c r="F1" s="470">
        <v>43221</v>
      </c>
      <c r="G1" s="470">
        <v>43252</v>
      </c>
      <c r="H1" s="470">
        <v>43282</v>
      </c>
      <c r="I1" s="470">
        <v>43313</v>
      </c>
      <c r="J1" s="470">
        <v>43344</v>
      </c>
      <c r="K1" s="470">
        <v>43374</v>
      </c>
      <c r="L1" s="470">
        <v>43405</v>
      </c>
      <c r="M1" s="470">
        <v>43435</v>
      </c>
      <c r="N1" s="470">
        <v>43466</v>
      </c>
      <c r="O1" s="470">
        <v>43497</v>
      </c>
      <c r="P1" s="470">
        <v>43525</v>
      </c>
      <c r="Q1" s="470">
        <v>43556</v>
      </c>
      <c r="R1" s="470">
        <v>43586</v>
      </c>
      <c r="S1" s="470">
        <v>43617</v>
      </c>
      <c r="T1" s="470">
        <v>43647</v>
      </c>
      <c r="U1" s="470">
        <v>43678</v>
      </c>
      <c r="V1" s="470">
        <v>43709</v>
      </c>
      <c r="W1" s="414">
        <v>43739</v>
      </c>
      <c r="X1" s="414">
        <v>43770</v>
      </c>
      <c r="Y1" s="414">
        <v>43800</v>
      </c>
      <c r="Z1" s="414">
        <v>43831</v>
      </c>
      <c r="AA1" s="414">
        <v>43862</v>
      </c>
      <c r="AB1" s="414">
        <v>43891</v>
      </c>
      <c r="AC1" s="470">
        <v>43922</v>
      </c>
      <c r="AD1" s="470">
        <v>43952</v>
      </c>
      <c r="AE1" s="470">
        <v>43983</v>
      </c>
      <c r="AF1" s="470">
        <v>44013</v>
      </c>
      <c r="AG1" s="470">
        <v>44044</v>
      </c>
      <c r="AH1" s="470">
        <v>44075</v>
      </c>
      <c r="AI1" s="470">
        <v>44105</v>
      </c>
      <c r="AJ1" s="470">
        <v>44136</v>
      </c>
      <c r="AK1" s="470">
        <v>44166</v>
      </c>
      <c r="AL1" s="470">
        <v>44197</v>
      </c>
      <c r="AM1" s="470">
        <v>44228</v>
      </c>
    </row>
    <row r="2" spans="1:22" s="472" customFormat="1" ht="16.5" customHeight="1">
      <c r="A2" s="416" t="s">
        <v>253</v>
      </c>
      <c r="B2" s="416"/>
      <c r="C2" s="416"/>
      <c r="D2" s="416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</row>
    <row r="3" spans="1:39" ht="12.75">
      <c r="A3" s="420" t="s">
        <v>256</v>
      </c>
      <c r="B3" s="421">
        <v>36.5</v>
      </c>
      <c r="C3" s="421">
        <v>43.5</v>
      </c>
      <c r="D3" s="421">
        <v>52.4</v>
      </c>
      <c r="E3" s="424">
        <v>48</v>
      </c>
      <c r="F3" s="421">
        <v>53.5</v>
      </c>
      <c r="G3" s="421">
        <v>60.4</v>
      </c>
      <c r="H3" s="421">
        <v>54.4</v>
      </c>
      <c r="I3" s="421">
        <v>54.6</v>
      </c>
      <c r="J3" s="421">
        <v>60.5</v>
      </c>
      <c r="K3" s="421">
        <v>61.9</v>
      </c>
      <c r="L3" s="421">
        <v>55.6</v>
      </c>
      <c r="M3" s="421">
        <v>67.2</v>
      </c>
      <c r="N3" s="421">
        <v>42.2</v>
      </c>
      <c r="O3" s="421">
        <v>60.9</v>
      </c>
      <c r="P3" s="421">
        <v>63.9</v>
      </c>
      <c r="Q3" s="422">
        <v>51.7</v>
      </c>
      <c r="R3" s="422">
        <v>63.6</v>
      </c>
      <c r="S3" s="391">
        <v>64</v>
      </c>
      <c r="T3" s="422">
        <v>47.6</v>
      </c>
      <c r="U3" s="422">
        <v>51.9</v>
      </c>
      <c r="V3" s="422">
        <v>67.4</v>
      </c>
      <c r="W3" s="422">
        <v>50.7</v>
      </c>
      <c r="X3" s="422">
        <v>65.7</v>
      </c>
      <c r="Y3" s="422">
        <v>61.9</v>
      </c>
      <c r="Z3" s="422">
        <v>46.8</v>
      </c>
      <c r="AA3" s="422">
        <v>60.9</v>
      </c>
      <c r="AB3" s="422">
        <v>57.4</v>
      </c>
      <c r="AC3" s="422">
        <v>55.7</v>
      </c>
      <c r="AD3" s="422">
        <v>61.8</v>
      </c>
      <c r="AE3" s="422">
        <v>67.4</v>
      </c>
      <c r="AF3" s="422">
        <v>54.5</v>
      </c>
      <c r="AG3" s="422">
        <v>58</v>
      </c>
      <c r="AH3" s="422">
        <v>53.3</v>
      </c>
      <c r="AI3" s="421">
        <v>57.1</v>
      </c>
      <c r="AJ3" s="421">
        <v>66.6</v>
      </c>
      <c r="AK3" s="421">
        <v>75.8</v>
      </c>
      <c r="AL3" s="421">
        <v>46.2</v>
      </c>
      <c r="AM3" s="421">
        <v>62.9</v>
      </c>
    </row>
    <row r="4" spans="1:39" ht="12.75">
      <c r="A4" s="420" t="s">
        <v>257</v>
      </c>
      <c r="B4" s="421">
        <v>64.3</v>
      </c>
      <c r="C4" s="421">
        <v>85.7</v>
      </c>
      <c r="D4" s="421">
        <v>63.2</v>
      </c>
      <c r="E4" s="421">
        <v>98.1</v>
      </c>
      <c r="F4" s="421">
        <v>101.5</v>
      </c>
      <c r="G4" s="421">
        <v>111.9</v>
      </c>
      <c r="H4" s="421">
        <v>115.4</v>
      </c>
      <c r="I4" s="421">
        <v>137.1</v>
      </c>
      <c r="J4" s="421">
        <v>135.9</v>
      </c>
      <c r="K4" s="421">
        <v>151.2</v>
      </c>
      <c r="L4" s="421">
        <v>111.4</v>
      </c>
      <c r="M4" s="421">
        <v>101.7</v>
      </c>
      <c r="N4" s="424">
        <v>84</v>
      </c>
      <c r="O4" s="421">
        <v>123.1</v>
      </c>
      <c r="P4" s="424">
        <v>122</v>
      </c>
      <c r="Q4" s="422">
        <v>100.2</v>
      </c>
      <c r="R4" s="422">
        <v>143.4</v>
      </c>
      <c r="S4" s="422">
        <v>140.4</v>
      </c>
      <c r="T4" s="422">
        <v>84.1</v>
      </c>
      <c r="U4" s="422">
        <v>103.1</v>
      </c>
      <c r="V4" s="391">
        <v>142</v>
      </c>
      <c r="W4" s="422">
        <v>124.8</v>
      </c>
      <c r="X4" s="422">
        <v>122.3</v>
      </c>
      <c r="Y4" s="391">
        <v>122.7</v>
      </c>
      <c r="Z4" s="422">
        <v>84.1</v>
      </c>
      <c r="AA4" s="422">
        <v>104.3</v>
      </c>
      <c r="AB4" s="422">
        <v>163.3</v>
      </c>
      <c r="AC4" s="422">
        <v>125.8</v>
      </c>
      <c r="AD4" s="422">
        <v>123.8</v>
      </c>
      <c r="AE4" s="422">
        <v>123.9</v>
      </c>
      <c r="AF4" s="422">
        <v>105.2</v>
      </c>
      <c r="AG4" s="422">
        <v>65.2</v>
      </c>
      <c r="AH4" s="422">
        <v>119.3</v>
      </c>
      <c r="AI4" s="421">
        <v>123.5</v>
      </c>
      <c r="AJ4" s="421">
        <v>105.3</v>
      </c>
      <c r="AK4" s="421">
        <v>161.1</v>
      </c>
      <c r="AL4" s="421">
        <v>82.2</v>
      </c>
      <c r="AM4" s="421">
        <v>82.5</v>
      </c>
    </row>
    <row r="5" spans="1:39" ht="12.75">
      <c r="A5" s="420" t="s">
        <v>232</v>
      </c>
      <c r="B5" s="421">
        <v>18.5</v>
      </c>
      <c r="C5" s="421">
        <v>8.2</v>
      </c>
      <c r="D5" s="421">
        <v>12.4</v>
      </c>
      <c r="E5" s="421">
        <v>9.2</v>
      </c>
      <c r="F5" s="421">
        <v>15.8</v>
      </c>
      <c r="G5" s="421">
        <v>11.1</v>
      </c>
      <c r="H5" s="421">
        <v>10.8</v>
      </c>
      <c r="I5" s="421">
        <v>15.8</v>
      </c>
      <c r="J5" s="421">
        <v>18</v>
      </c>
      <c r="K5" s="421">
        <v>11.4</v>
      </c>
      <c r="L5" s="421">
        <v>19.7</v>
      </c>
      <c r="M5" s="424">
        <v>17</v>
      </c>
      <c r="N5" s="421">
        <v>8.9</v>
      </c>
      <c r="O5" s="421">
        <v>18.6</v>
      </c>
      <c r="P5" s="421">
        <v>17.3</v>
      </c>
      <c r="Q5" s="422">
        <v>15.3</v>
      </c>
      <c r="R5" s="422">
        <v>18.8</v>
      </c>
      <c r="S5" s="422">
        <v>22.2</v>
      </c>
      <c r="T5" s="391">
        <v>8.1</v>
      </c>
      <c r="U5" s="422">
        <v>10.7</v>
      </c>
      <c r="V5" s="422">
        <v>26.3</v>
      </c>
      <c r="W5" s="391">
        <v>7.9</v>
      </c>
      <c r="X5" s="422">
        <v>31.3</v>
      </c>
      <c r="Y5" s="422">
        <v>25.8</v>
      </c>
      <c r="Z5" s="391">
        <v>8.7</v>
      </c>
      <c r="AA5" s="422">
        <v>24.9</v>
      </c>
      <c r="AB5" s="422">
        <v>25.3</v>
      </c>
      <c r="AC5" s="422">
        <v>16.4</v>
      </c>
      <c r="AD5" s="422">
        <v>11.1</v>
      </c>
      <c r="AE5" s="391">
        <v>21</v>
      </c>
      <c r="AF5" s="422">
        <v>8.3</v>
      </c>
      <c r="AG5" s="422">
        <v>23.8</v>
      </c>
      <c r="AH5" s="422">
        <v>9.3</v>
      </c>
      <c r="AI5" s="424">
        <v>19</v>
      </c>
      <c r="AJ5" s="424">
        <v>17.7</v>
      </c>
      <c r="AK5" s="424">
        <v>17.9</v>
      </c>
      <c r="AL5" s="424">
        <v>12.3</v>
      </c>
      <c r="AM5" s="424">
        <v>6.9</v>
      </c>
    </row>
    <row r="6" spans="1:39" ht="12.75">
      <c r="A6" s="420" t="s">
        <v>181</v>
      </c>
      <c r="B6" s="421">
        <v>1.3</v>
      </c>
      <c r="C6" s="421">
        <v>1.5</v>
      </c>
      <c r="D6" s="421">
        <v>1.4</v>
      </c>
      <c r="E6" s="421">
        <v>1.3</v>
      </c>
      <c r="F6" s="421">
        <v>1.6</v>
      </c>
      <c r="G6" s="421">
        <v>1.3</v>
      </c>
      <c r="H6" s="421">
        <v>1.4</v>
      </c>
      <c r="I6" s="421">
        <v>1.7</v>
      </c>
      <c r="J6" s="421">
        <v>1.6</v>
      </c>
      <c r="K6" s="421">
        <v>1.5</v>
      </c>
      <c r="L6" s="421">
        <v>1.3</v>
      </c>
      <c r="M6" s="421">
        <v>1.5</v>
      </c>
      <c r="N6" s="424">
        <v>1</v>
      </c>
      <c r="O6" s="421">
        <v>1.5</v>
      </c>
      <c r="P6" s="421">
        <v>1.1</v>
      </c>
      <c r="Q6" s="422">
        <v>0.9</v>
      </c>
      <c r="R6" s="391">
        <v>0.9</v>
      </c>
      <c r="S6" s="422">
        <v>0.9</v>
      </c>
      <c r="T6" s="422">
        <v>0.9</v>
      </c>
      <c r="U6" s="422">
        <v>1.2</v>
      </c>
      <c r="V6" s="422">
        <v>1.2</v>
      </c>
      <c r="W6" s="422">
        <v>0.8</v>
      </c>
      <c r="X6" s="422">
        <v>1.4</v>
      </c>
      <c r="Y6" s="422">
        <v>0.8</v>
      </c>
      <c r="Z6" s="422">
        <v>0.9</v>
      </c>
      <c r="AA6" s="422">
        <v>1.5</v>
      </c>
      <c r="AB6" s="422">
        <v>0.4</v>
      </c>
      <c r="AC6" s="422">
        <v>0.9</v>
      </c>
      <c r="AD6" s="422">
        <v>0.6</v>
      </c>
      <c r="AE6" s="422">
        <v>0.6</v>
      </c>
      <c r="AF6" s="422">
        <v>1</v>
      </c>
      <c r="AG6" s="422">
        <v>0.6</v>
      </c>
      <c r="AH6" s="422">
        <v>0.7</v>
      </c>
      <c r="AI6" s="424">
        <v>0.8</v>
      </c>
      <c r="AJ6" s="424">
        <v>0.7</v>
      </c>
      <c r="AK6" s="424">
        <v>1.1</v>
      </c>
      <c r="AL6" s="424">
        <v>0.6</v>
      </c>
      <c r="AM6" s="424">
        <v>0.7</v>
      </c>
    </row>
    <row r="7" spans="1:39" s="472" customFormat="1" ht="16.5" customHeight="1">
      <c r="A7" s="416" t="s">
        <v>87</v>
      </c>
      <c r="B7" s="473"/>
      <c r="C7" s="473"/>
      <c r="D7" s="473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6"/>
      <c r="AJ7" s="426"/>
      <c r="AK7" s="426"/>
      <c r="AL7" s="426"/>
      <c r="AM7" s="426"/>
    </row>
    <row r="8" spans="1:39" ht="12.75">
      <c r="A8" s="420" t="s">
        <v>256</v>
      </c>
      <c r="B8" s="424">
        <v>28</v>
      </c>
      <c r="C8" s="421">
        <v>31.3</v>
      </c>
      <c r="D8" s="421">
        <v>43.2</v>
      </c>
      <c r="E8" s="421">
        <v>38.1</v>
      </c>
      <c r="F8" s="424">
        <v>40</v>
      </c>
      <c r="G8" s="424">
        <v>49</v>
      </c>
      <c r="H8" s="421">
        <v>43.8</v>
      </c>
      <c r="I8" s="421">
        <v>42.4</v>
      </c>
      <c r="J8" s="421">
        <v>50.9</v>
      </c>
      <c r="K8" s="424">
        <v>50</v>
      </c>
      <c r="L8" s="421">
        <v>44.3</v>
      </c>
      <c r="M8" s="421">
        <v>53.5</v>
      </c>
      <c r="N8" s="421">
        <v>31.3</v>
      </c>
      <c r="O8" s="421">
        <v>50.1</v>
      </c>
      <c r="P8" s="421">
        <v>53.5</v>
      </c>
      <c r="Q8" s="422">
        <v>42.4</v>
      </c>
      <c r="R8" s="422">
        <v>51.2</v>
      </c>
      <c r="S8" s="422">
        <v>51.2</v>
      </c>
      <c r="T8" s="422">
        <v>38.5</v>
      </c>
      <c r="U8" s="422">
        <v>41.4</v>
      </c>
      <c r="V8" s="422">
        <v>54.9</v>
      </c>
      <c r="W8" s="422">
        <v>42.6</v>
      </c>
      <c r="X8" s="422">
        <v>51.5</v>
      </c>
      <c r="Y8" s="422">
        <v>48.2</v>
      </c>
      <c r="Z8" s="422">
        <v>36.9</v>
      </c>
      <c r="AA8" s="422">
        <v>48.4</v>
      </c>
      <c r="AB8" s="422">
        <v>46.9</v>
      </c>
      <c r="AC8" s="422">
        <v>42.4</v>
      </c>
      <c r="AD8" s="422">
        <v>48.2</v>
      </c>
      <c r="AE8" s="422">
        <v>54.3</v>
      </c>
      <c r="AF8" s="422">
        <v>43.3</v>
      </c>
      <c r="AG8" s="422">
        <v>40.9</v>
      </c>
      <c r="AH8" s="422">
        <v>43.7</v>
      </c>
      <c r="AI8" s="421">
        <v>44.4</v>
      </c>
      <c r="AJ8" s="421">
        <v>51.8</v>
      </c>
      <c r="AK8" s="421">
        <v>59.9</v>
      </c>
      <c r="AL8" s="421">
        <v>35.2</v>
      </c>
      <c r="AM8" s="421">
        <v>51.7</v>
      </c>
    </row>
    <row r="9" spans="1:39" ht="12.75">
      <c r="A9" s="420" t="s">
        <v>257</v>
      </c>
      <c r="B9" s="421">
        <v>62.7</v>
      </c>
      <c r="C9" s="421">
        <v>83.1</v>
      </c>
      <c r="D9" s="421">
        <v>61.2</v>
      </c>
      <c r="E9" s="421">
        <v>97.2</v>
      </c>
      <c r="F9" s="421">
        <v>71.2</v>
      </c>
      <c r="G9" s="421">
        <v>110.3</v>
      </c>
      <c r="H9" s="421">
        <v>113.9</v>
      </c>
      <c r="I9" s="421">
        <v>135.2</v>
      </c>
      <c r="J9" s="421">
        <v>134.1</v>
      </c>
      <c r="K9" s="421">
        <v>149.8</v>
      </c>
      <c r="L9" s="421">
        <v>109.5</v>
      </c>
      <c r="M9" s="421">
        <v>99.1</v>
      </c>
      <c r="N9" s="421">
        <v>82.7</v>
      </c>
      <c r="O9" s="421">
        <v>121.6</v>
      </c>
      <c r="P9" s="424">
        <v>121</v>
      </c>
      <c r="Q9" s="422">
        <v>99.3</v>
      </c>
      <c r="R9" s="422">
        <v>142.2</v>
      </c>
      <c r="S9" s="391">
        <v>139</v>
      </c>
      <c r="T9" s="422">
        <v>82.3</v>
      </c>
      <c r="U9" s="422">
        <v>101.8</v>
      </c>
      <c r="V9" s="422">
        <v>139.2</v>
      </c>
      <c r="W9" s="422">
        <v>123.3</v>
      </c>
      <c r="X9" s="422">
        <v>120.5</v>
      </c>
      <c r="Y9" s="422">
        <v>119.9</v>
      </c>
      <c r="Z9" s="422">
        <v>82.4</v>
      </c>
      <c r="AA9" s="422">
        <v>101.8</v>
      </c>
      <c r="AB9" s="391">
        <v>161</v>
      </c>
      <c r="AC9" s="422">
        <v>122.7</v>
      </c>
      <c r="AD9" s="391">
        <v>120.8</v>
      </c>
      <c r="AE9" s="391">
        <v>120.5</v>
      </c>
      <c r="AF9" s="422">
        <v>102.7</v>
      </c>
      <c r="AG9" s="422">
        <v>60.8</v>
      </c>
      <c r="AH9" s="422">
        <v>117.2</v>
      </c>
      <c r="AI9" s="424">
        <v>120.4</v>
      </c>
      <c r="AJ9" s="424">
        <v>101.1</v>
      </c>
      <c r="AK9" s="424">
        <v>157.6</v>
      </c>
      <c r="AL9" s="424">
        <v>79.9</v>
      </c>
      <c r="AM9" s="424">
        <v>80.3</v>
      </c>
    </row>
    <row r="10" spans="1:39" ht="12.75">
      <c r="A10" s="420" t="s">
        <v>232</v>
      </c>
      <c r="B10" s="421">
        <v>11.9</v>
      </c>
      <c r="C10" s="421">
        <v>1.4</v>
      </c>
      <c r="D10" s="421">
        <v>6.9</v>
      </c>
      <c r="E10" s="421">
        <v>2.5</v>
      </c>
      <c r="F10" s="421">
        <v>13.7</v>
      </c>
      <c r="G10" s="421">
        <v>2.7</v>
      </c>
      <c r="H10" s="421">
        <v>4</v>
      </c>
      <c r="I10" s="421">
        <v>6.8</v>
      </c>
      <c r="J10" s="421">
        <v>11.9</v>
      </c>
      <c r="K10" s="421">
        <v>2.7</v>
      </c>
      <c r="L10" s="421">
        <v>11.4</v>
      </c>
      <c r="M10" s="421">
        <v>7.7</v>
      </c>
      <c r="N10" s="421">
        <v>1.2</v>
      </c>
      <c r="O10" s="424">
        <v>11</v>
      </c>
      <c r="P10" s="421">
        <v>8.1</v>
      </c>
      <c r="Q10" s="422">
        <v>7.5</v>
      </c>
      <c r="R10" s="391">
        <v>11</v>
      </c>
      <c r="S10" s="422">
        <v>11.9</v>
      </c>
      <c r="T10" s="422">
        <v>1.4</v>
      </c>
      <c r="U10" s="422">
        <v>0.3</v>
      </c>
      <c r="V10" s="422">
        <v>16.4</v>
      </c>
      <c r="W10" s="422">
        <v>0.3</v>
      </c>
      <c r="X10" s="422">
        <v>18.5</v>
      </c>
      <c r="Y10" s="422">
        <v>13.9</v>
      </c>
      <c r="Z10" s="422">
        <v>0.6</v>
      </c>
      <c r="AA10" s="391">
        <v>14</v>
      </c>
      <c r="AB10" s="422">
        <v>15.9</v>
      </c>
      <c r="AC10" s="391">
        <v>6.6</v>
      </c>
      <c r="AD10" s="422">
        <v>1.2</v>
      </c>
      <c r="AE10" s="391">
        <v>12</v>
      </c>
      <c r="AF10" s="391">
        <v>1.3</v>
      </c>
      <c r="AG10" s="391">
        <v>12.6</v>
      </c>
      <c r="AH10" s="391">
        <v>3.2</v>
      </c>
      <c r="AI10" s="424">
        <v>11.9</v>
      </c>
      <c r="AJ10" s="424">
        <v>11.1</v>
      </c>
      <c r="AK10" s="424">
        <v>9.8</v>
      </c>
      <c r="AL10" s="424">
        <v>6.5</v>
      </c>
      <c r="AM10" s="424">
        <v>1.8</v>
      </c>
    </row>
    <row r="11" spans="1:39" s="472" customFormat="1" ht="16.5" customHeight="1">
      <c r="A11" s="416" t="s">
        <v>263</v>
      </c>
      <c r="B11" s="473"/>
      <c r="C11" s="473"/>
      <c r="D11" s="473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6"/>
      <c r="AJ11" s="426"/>
      <c r="AK11" s="426"/>
      <c r="AL11" s="426"/>
      <c r="AM11" s="426"/>
    </row>
    <row r="12" spans="1:39" ht="12.75">
      <c r="A12" s="420" t="s">
        <v>256</v>
      </c>
      <c r="B12" s="421">
        <v>6.3</v>
      </c>
      <c r="C12" s="421">
        <v>6.6</v>
      </c>
      <c r="D12" s="421">
        <v>4.4</v>
      </c>
      <c r="E12" s="421">
        <v>7.9</v>
      </c>
      <c r="F12" s="421">
        <v>4.3</v>
      </c>
      <c r="G12" s="421">
        <v>8.8</v>
      </c>
      <c r="H12" s="421">
        <v>4.8</v>
      </c>
      <c r="I12" s="421">
        <v>8.9</v>
      </c>
      <c r="J12" s="421">
        <v>4.8</v>
      </c>
      <c r="K12" s="421">
        <v>7.5</v>
      </c>
      <c r="L12" s="421">
        <v>6.7</v>
      </c>
      <c r="M12" s="421">
        <v>7.1</v>
      </c>
      <c r="N12" s="421">
        <v>6.9</v>
      </c>
      <c r="O12" s="421">
        <v>4.5</v>
      </c>
      <c r="P12" s="421">
        <v>6.5</v>
      </c>
      <c r="Q12" s="391">
        <v>4</v>
      </c>
      <c r="R12" s="422">
        <v>7.1</v>
      </c>
      <c r="S12" s="422">
        <v>7.4</v>
      </c>
      <c r="T12" s="391">
        <v>4</v>
      </c>
      <c r="U12" s="422">
        <v>6.5</v>
      </c>
      <c r="V12" s="422">
        <v>5.9</v>
      </c>
      <c r="W12" s="391">
        <v>5.1</v>
      </c>
      <c r="X12" s="422">
        <v>9.9</v>
      </c>
      <c r="Y12" s="422">
        <v>5.9</v>
      </c>
      <c r="Z12" s="391">
        <v>5.6</v>
      </c>
      <c r="AA12" s="422">
        <v>7.2</v>
      </c>
      <c r="AB12" s="422">
        <v>5.3</v>
      </c>
      <c r="AC12" s="422">
        <v>5.2</v>
      </c>
      <c r="AD12" s="422">
        <v>6.5</v>
      </c>
      <c r="AE12" s="422">
        <v>5.2</v>
      </c>
      <c r="AF12" s="422">
        <v>5.8</v>
      </c>
      <c r="AG12" s="422">
        <v>8</v>
      </c>
      <c r="AH12" s="422">
        <v>5.4</v>
      </c>
      <c r="AI12" s="421">
        <v>5.7</v>
      </c>
      <c r="AJ12" s="421">
        <v>5.5</v>
      </c>
      <c r="AK12" s="421">
        <v>7.7</v>
      </c>
      <c r="AL12" s="421">
        <v>4.9</v>
      </c>
      <c r="AM12" s="421">
        <v>5.3</v>
      </c>
    </row>
    <row r="13" spans="1:39" ht="12.75">
      <c r="A13" s="420" t="s">
        <v>232</v>
      </c>
      <c r="B13" s="421">
        <v>5.9</v>
      </c>
      <c r="C13" s="421">
        <v>4.7</v>
      </c>
      <c r="D13" s="421">
        <v>3.3</v>
      </c>
      <c r="E13" s="421">
        <v>6</v>
      </c>
      <c r="F13" s="421">
        <v>4.3</v>
      </c>
      <c r="G13" s="421">
        <v>7.4</v>
      </c>
      <c r="H13" s="421">
        <v>4.8</v>
      </c>
      <c r="I13" s="421">
        <v>7.6</v>
      </c>
      <c r="J13" s="421">
        <v>3.7</v>
      </c>
      <c r="K13" s="421">
        <v>6.6</v>
      </c>
      <c r="L13" s="421">
        <v>5.8</v>
      </c>
      <c r="M13" s="421">
        <v>5.9</v>
      </c>
      <c r="N13" s="421">
        <v>5.7</v>
      </c>
      <c r="O13" s="421">
        <v>4.1</v>
      </c>
      <c r="P13" s="421">
        <v>7.4</v>
      </c>
      <c r="Q13" s="422">
        <v>5.1</v>
      </c>
      <c r="R13" s="422">
        <v>5.3</v>
      </c>
      <c r="S13" s="422">
        <v>7.6</v>
      </c>
      <c r="T13" s="422">
        <v>3.7</v>
      </c>
      <c r="U13" s="422">
        <v>8.2</v>
      </c>
      <c r="V13" s="422">
        <v>6.5</v>
      </c>
      <c r="W13" s="422">
        <v>5.7</v>
      </c>
      <c r="X13" s="422">
        <v>10.6</v>
      </c>
      <c r="Y13" s="422">
        <v>7.8</v>
      </c>
      <c r="Z13" s="422">
        <v>5.9</v>
      </c>
      <c r="AA13" s="422">
        <v>8.3</v>
      </c>
      <c r="AB13" s="391">
        <v>7</v>
      </c>
      <c r="AC13" s="422">
        <v>6.7</v>
      </c>
      <c r="AD13" s="391">
        <v>7.1</v>
      </c>
      <c r="AE13" s="391">
        <v>6.1</v>
      </c>
      <c r="AF13" s="422">
        <v>5</v>
      </c>
      <c r="AG13" s="422">
        <v>7.9</v>
      </c>
      <c r="AH13" s="422">
        <v>4.5</v>
      </c>
      <c r="AI13" s="424">
        <v>4.6</v>
      </c>
      <c r="AJ13" s="424">
        <v>3.5</v>
      </c>
      <c r="AK13" s="424">
        <v>5.6</v>
      </c>
      <c r="AL13" s="424">
        <v>3.2</v>
      </c>
      <c r="AM13" s="424">
        <v>3.3</v>
      </c>
    </row>
    <row r="14" spans="1:39" ht="12.75">
      <c r="A14" s="420" t="s">
        <v>257</v>
      </c>
      <c r="B14" s="424">
        <v>1</v>
      </c>
      <c r="C14" s="424">
        <v>1</v>
      </c>
      <c r="D14" s="421">
        <v>0.7</v>
      </c>
      <c r="E14" s="421">
        <v>0.5</v>
      </c>
      <c r="F14" s="421">
        <v>0.1</v>
      </c>
      <c r="G14" s="421">
        <v>0.9</v>
      </c>
      <c r="H14" s="421">
        <v>-0.06</v>
      </c>
      <c r="I14" s="421">
        <v>0.9</v>
      </c>
      <c r="J14" s="424">
        <v>0.34</v>
      </c>
      <c r="K14" s="421">
        <v>0.1</v>
      </c>
      <c r="L14" s="421">
        <v>0.6</v>
      </c>
      <c r="M14" s="421">
        <v>0.8</v>
      </c>
      <c r="N14" s="421">
        <v>0.3</v>
      </c>
      <c r="O14" s="421">
        <v>-0.1</v>
      </c>
      <c r="P14" s="421">
        <v>0.1</v>
      </c>
      <c r="Q14" s="422">
        <v>-0.4</v>
      </c>
      <c r="R14" s="391">
        <v>0</v>
      </c>
      <c r="S14" s="422">
        <v>0.1</v>
      </c>
      <c r="T14" s="422">
        <v>0.4</v>
      </c>
      <c r="U14" s="422">
        <v>0.4</v>
      </c>
      <c r="V14" s="422">
        <v>1.1</v>
      </c>
      <c r="W14" s="422">
        <v>0.8</v>
      </c>
      <c r="X14" s="422">
        <v>0.8</v>
      </c>
      <c r="Y14" s="422">
        <v>0.9</v>
      </c>
      <c r="Z14" s="422">
        <v>0.6</v>
      </c>
      <c r="AA14" s="422">
        <v>0.8</v>
      </c>
      <c r="AB14" s="422">
        <v>0.7</v>
      </c>
      <c r="AC14" s="422">
        <v>0.5</v>
      </c>
      <c r="AD14" s="422">
        <v>0.5</v>
      </c>
      <c r="AE14" s="422">
        <v>0.8</v>
      </c>
      <c r="AF14" s="422">
        <v>0.7</v>
      </c>
      <c r="AG14" s="422">
        <v>1.1</v>
      </c>
      <c r="AH14" s="422">
        <v>0.4</v>
      </c>
      <c r="AI14" s="421">
        <v>0.6</v>
      </c>
      <c r="AJ14" s="421">
        <v>0.6</v>
      </c>
      <c r="AK14" s="421">
        <v>0.7</v>
      </c>
      <c r="AL14" s="421">
        <v>0.4</v>
      </c>
      <c r="AM14" s="421">
        <v>0.3</v>
      </c>
    </row>
    <row r="15" spans="1:39" ht="12.75">
      <c r="A15" s="420" t="s">
        <v>181</v>
      </c>
      <c r="B15" s="421">
        <v>0.04</v>
      </c>
      <c r="C15" s="421">
        <v>0.003</v>
      </c>
      <c r="D15" s="421">
        <v>0</v>
      </c>
      <c r="E15" s="421">
        <v>0.04</v>
      </c>
      <c r="F15" s="421">
        <v>0.06</v>
      </c>
      <c r="G15" s="421">
        <v>0.02</v>
      </c>
      <c r="H15" s="421">
        <v>0.04</v>
      </c>
      <c r="I15" s="421">
        <v>0.05</v>
      </c>
      <c r="J15" s="424">
        <v>0</v>
      </c>
      <c r="K15" s="421">
        <v>0.13</v>
      </c>
      <c r="L15" s="421">
        <v>0.04</v>
      </c>
      <c r="M15" s="421">
        <v>0.02</v>
      </c>
      <c r="N15" s="421">
        <v>0.02</v>
      </c>
      <c r="O15" s="421">
        <v>0.059</v>
      </c>
      <c r="P15" s="421">
        <v>0.16</v>
      </c>
      <c r="Q15" s="429">
        <v>0.134</v>
      </c>
      <c r="R15" s="422">
        <v>0.14</v>
      </c>
      <c r="S15" s="422">
        <v>0.04</v>
      </c>
      <c r="T15" s="429">
        <v>0.092</v>
      </c>
      <c r="U15" s="422">
        <v>0.02</v>
      </c>
      <c r="V15" s="422">
        <v>0.02</v>
      </c>
      <c r="W15" s="422">
        <v>0.06</v>
      </c>
      <c r="X15" s="422">
        <v>0.07</v>
      </c>
      <c r="Y15" s="422">
        <v>0.05</v>
      </c>
      <c r="Z15" s="422">
        <v>0.04</v>
      </c>
      <c r="AA15" s="475">
        <v>0.093</v>
      </c>
      <c r="AB15" s="475">
        <v>0.089</v>
      </c>
      <c r="AC15" s="475">
        <v>0.081</v>
      </c>
      <c r="AD15" s="475">
        <v>0.038</v>
      </c>
      <c r="AE15" s="475">
        <v>0.041</v>
      </c>
      <c r="AF15" s="475">
        <v>0.061</v>
      </c>
      <c r="AG15" s="475">
        <v>0.02</v>
      </c>
      <c r="AH15" s="475">
        <v>0.02</v>
      </c>
      <c r="AI15" s="480">
        <v>0.04</v>
      </c>
      <c r="AJ15" s="480">
        <v>0.04</v>
      </c>
      <c r="AK15" s="480">
        <v>0.09</v>
      </c>
      <c r="AL15" s="481" t="s">
        <v>201</v>
      </c>
      <c r="AM15" s="481" t="s">
        <v>201</v>
      </c>
    </row>
    <row r="16" spans="1:39" s="472" customFormat="1" ht="16.5" customHeight="1">
      <c r="A16" s="416" t="s">
        <v>266</v>
      </c>
      <c r="B16" s="473"/>
      <c r="C16" s="473"/>
      <c r="D16" s="473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6"/>
      <c r="AJ16" s="426"/>
      <c r="AK16" s="426"/>
      <c r="AL16" s="426"/>
      <c r="AM16" s="426"/>
    </row>
    <row r="17" spans="1:39" ht="12.75">
      <c r="A17" s="420" t="s">
        <v>256</v>
      </c>
      <c r="B17" s="421">
        <v>2.2</v>
      </c>
      <c r="C17" s="421">
        <v>5.6</v>
      </c>
      <c r="D17" s="421">
        <v>4.8</v>
      </c>
      <c r="E17" s="421">
        <v>2</v>
      </c>
      <c r="F17" s="421">
        <v>5.6</v>
      </c>
      <c r="G17" s="421">
        <v>2.5</v>
      </c>
      <c r="H17" s="421">
        <v>5.8</v>
      </c>
      <c r="I17" s="421">
        <v>3.3</v>
      </c>
      <c r="J17" s="421">
        <v>4.7</v>
      </c>
      <c r="K17" s="421">
        <v>4.4</v>
      </c>
      <c r="L17" s="421">
        <v>4.7</v>
      </c>
      <c r="M17" s="421">
        <v>6.6</v>
      </c>
      <c r="N17" s="424">
        <v>4</v>
      </c>
      <c r="O17" s="421">
        <v>6.3</v>
      </c>
      <c r="P17" s="424">
        <v>4</v>
      </c>
      <c r="Q17" s="422">
        <v>5.3</v>
      </c>
      <c r="R17" s="422">
        <v>5.3</v>
      </c>
      <c r="S17" s="422">
        <v>5.4</v>
      </c>
      <c r="T17" s="422">
        <v>5.1</v>
      </c>
      <c r="U17" s="391">
        <v>4</v>
      </c>
      <c r="V17" s="422">
        <v>6.6</v>
      </c>
      <c r="W17" s="391">
        <v>3</v>
      </c>
      <c r="X17" s="391">
        <v>4.3</v>
      </c>
      <c r="Y17" s="422">
        <v>7.8</v>
      </c>
      <c r="Z17" s="422">
        <v>4.3</v>
      </c>
      <c r="AA17" s="422">
        <v>5.3</v>
      </c>
      <c r="AB17" s="422">
        <v>5.2</v>
      </c>
      <c r="AC17" s="422">
        <v>8.1</v>
      </c>
      <c r="AD17" s="422">
        <v>7.1</v>
      </c>
      <c r="AE17" s="422">
        <v>7.9</v>
      </c>
      <c r="AF17" s="422">
        <v>5.4</v>
      </c>
      <c r="AG17" s="422">
        <v>9.1</v>
      </c>
      <c r="AH17" s="422">
        <v>4.2</v>
      </c>
      <c r="AI17" s="424">
        <v>7</v>
      </c>
      <c r="AJ17" s="421">
        <v>9.3</v>
      </c>
      <c r="AK17" s="421">
        <v>8.2</v>
      </c>
      <c r="AL17" s="421">
        <v>6.1</v>
      </c>
      <c r="AM17" s="421">
        <v>5.9</v>
      </c>
    </row>
    <row r="18" spans="1:39" ht="12.75">
      <c r="A18" s="420" t="s">
        <v>181</v>
      </c>
      <c r="B18" s="421">
        <v>1.3</v>
      </c>
      <c r="C18" s="421">
        <v>1.5</v>
      </c>
      <c r="D18" s="421">
        <v>1.3</v>
      </c>
      <c r="E18" s="421">
        <v>1.3</v>
      </c>
      <c r="F18" s="421" t="s">
        <v>264</v>
      </c>
      <c r="G18" s="421">
        <v>2.5</v>
      </c>
      <c r="H18" s="421">
        <v>1.4</v>
      </c>
      <c r="I18" s="421">
        <v>1.6</v>
      </c>
      <c r="J18" s="421">
        <v>1.6</v>
      </c>
      <c r="K18" s="421">
        <v>1.3</v>
      </c>
      <c r="L18" s="421">
        <v>1.3</v>
      </c>
      <c r="M18" s="421">
        <v>1.5</v>
      </c>
      <c r="N18" s="424">
        <v>1</v>
      </c>
      <c r="O18" s="421">
        <v>1.4</v>
      </c>
      <c r="P18" s="424">
        <v>1</v>
      </c>
      <c r="Q18" s="422">
        <v>0.8</v>
      </c>
      <c r="R18" s="422">
        <v>0.8</v>
      </c>
      <c r="S18" s="422">
        <v>0.9</v>
      </c>
      <c r="T18" s="422">
        <v>0.8</v>
      </c>
      <c r="U18" s="422">
        <v>1.2</v>
      </c>
      <c r="V18" s="422">
        <v>1.2</v>
      </c>
      <c r="W18" s="422">
        <v>0.7</v>
      </c>
      <c r="X18" s="422">
        <v>1.3</v>
      </c>
      <c r="Y18" s="422">
        <v>0.7</v>
      </c>
      <c r="Z18" s="422">
        <v>0.9</v>
      </c>
      <c r="AA18" s="422">
        <v>1.4</v>
      </c>
      <c r="AB18" s="422">
        <v>0.3</v>
      </c>
      <c r="AC18" s="422">
        <v>0.8</v>
      </c>
      <c r="AD18" s="422">
        <v>0.6</v>
      </c>
      <c r="AE18" s="422">
        <v>0.6</v>
      </c>
      <c r="AF18" s="422">
        <v>0.9</v>
      </c>
      <c r="AG18" s="422">
        <v>0.6</v>
      </c>
      <c r="AH18" s="422">
        <v>0.7</v>
      </c>
      <c r="AI18" s="421">
        <v>0.8</v>
      </c>
      <c r="AJ18" s="421">
        <v>0.7</v>
      </c>
      <c r="AK18" s="424">
        <v>1</v>
      </c>
      <c r="AL18" s="421">
        <v>0.5</v>
      </c>
      <c r="AM18" s="421">
        <v>0.7</v>
      </c>
    </row>
    <row r="19" spans="1:39" ht="12.75">
      <c r="A19" s="420" t="s">
        <v>257</v>
      </c>
      <c r="B19" s="421">
        <v>0.5</v>
      </c>
      <c r="C19" s="421">
        <v>1.5</v>
      </c>
      <c r="D19" s="421">
        <v>1.3</v>
      </c>
      <c r="E19" s="421">
        <v>0.3</v>
      </c>
      <c r="F19" s="421">
        <v>1.5</v>
      </c>
      <c r="G19" s="421">
        <v>1.3</v>
      </c>
      <c r="H19" s="421">
        <v>1.5</v>
      </c>
      <c r="I19" s="421">
        <v>1</v>
      </c>
      <c r="J19" s="421">
        <v>1.4</v>
      </c>
      <c r="K19" s="421">
        <v>1.3</v>
      </c>
      <c r="L19" s="421">
        <v>1.3</v>
      </c>
      <c r="M19" s="421">
        <v>1.8</v>
      </c>
      <c r="N19" s="424">
        <v>1</v>
      </c>
      <c r="O19" s="421">
        <v>1.6</v>
      </c>
      <c r="P19" s="421">
        <v>0.9</v>
      </c>
      <c r="Q19" s="422">
        <v>1.3</v>
      </c>
      <c r="R19" s="422">
        <v>1.2</v>
      </c>
      <c r="S19" s="422">
        <v>1.3</v>
      </c>
      <c r="T19" s="422">
        <v>1.3</v>
      </c>
      <c r="U19" s="422">
        <v>0.9</v>
      </c>
      <c r="V19" s="422">
        <v>1.7</v>
      </c>
      <c r="W19" s="422">
        <v>0.7</v>
      </c>
      <c r="X19" s="391">
        <v>1</v>
      </c>
      <c r="Y19" s="422">
        <v>1.9</v>
      </c>
      <c r="Z19" s="422">
        <v>1.1</v>
      </c>
      <c r="AA19" s="422">
        <v>1.7</v>
      </c>
      <c r="AB19" s="422">
        <v>1.6</v>
      </c>
      <c r="AC19" s="422">
        <v>2.6</v>
      </c>
      <c r="AD19" s="422">
        <v>2.5</v>
      </c>
      <c r="AE19" s="422">
        <v>2.6</v>
      </c>
      <c r="AF19" s="422">
        <v>1.8</v>
      </c>
      <c r="AG19" s="422">
        <v>3.3</v>
      </c>
      <c r="AH19" s="422">
        <v>1.7</v>
      </c>
      <c r="AI19" s="421">
        <v>2.5</v>
      </c>
      <c r="AJ19" s="421">
        <v>3.6</v>
      </c>
      <c r="AK19" s="421">
        <v>2.8</v>
      </c>
      <c r="AL19" s="421">
        <v>1.9</v>
      </c>
      <c r="AM19" s="421">
        <v>1.9</v>
      </c>
    </row>
    <row r="20" spans="1:39" ht="12.75">
      <c r="A20" s="420" t="s">
        <v>232</v>
      </c>
      <c r="B20" s="421">
        <v>0.7</v>
      </c>
      <c r="C20" s="421">
        <v>2.1</v>
      </c>
      <c r="D20" s="421">
        <v>2.2</v>
      </c>
      <c r="E20" s="421">
        <v>0.7</v>
      </c>
      <c r="F20" s="421">
        <v>2.2</v>
      </c>
      <c r="G20" s="421">
        <v>1</v>
      </c>
      <c r="H20" s="421">
        <v>2</v>
      </c>
      <c r="I20" s="421">
        <v>1.4</v>
      </c>
      <c r="J20" s="421">
        <v>2.4</v>
      </c>
      <c r="K20" s="421">
        <v>2.1</v>
      </c>
      <c r="L20" s="421">
        <v>2.4</v>
      </c>
      <c r="M20" s="421">
        <v>3.4</v>
      </c>
      <c r="N20" s="424">
        <v>2</v>
      </c>
      <c r="O20" s="421">
        <v>3.5</v>
      </c>
      <c r="P20" s="421">
        <v>1.8</v>
      </c>
      <c r="Q20" s="422">
        <v>2.8</v>
      </c>
      <c r="R20" s="422">
        <v>2.5</v>
      </c>
      <c r="S20" s="422">
        <v>2.7</v>
      </c>
      <c r="T20" s="391">
        <v>3</v>
      </c>
      <c r="U20" s="422">
        <v>2.2</v>
      </c>
      <c r="V20" s="422">
        <v>3.4</v>
      </c>
      <c r="W20" s="391">
        <v>1.9</v>
      </c>
      <c r="X20" s="422">
        <v>2.2</v>
      </c>
      <c r="Y20" s="422">
        <v>4.1</v>
      </c>
      <c r="Z20" s="391">
        <v>2.2</v>
      </c>
      <c r="AA20" s="422">
        <v>2.6</v>
      </c>
      <c r="AB20" s="422">
        <v>2.4</v>
      </c>
      <c r="AC20" s="422">
        <v>3.1</v>
      </c>
      <c r="AD20" s="422">
        <v>2.8</v>
      </c>
      <c r="AE20" s="422">
        <v>2.9</v>
      </c>
      <c r="AF20" s="422">
        <v>2</v>
      </c>
      <c r="AG20" s="422">
        <v>3.3</v>
      </c>
      <c r="AH20" s="422">
        <v>1.6</v>
      </c>
      <c r="AI20" s="424">
        <v>2.5</v>
      </c>
      <c r="AJ20" s="424">
        <v>3.1</v>
      </c>
      <c r="AK20" s="424">
        <v>2.5</v>
      </c>
      <c r="AL20" s="424">
        <v>2.6</v>
      </c>
      <c r="AM20" s="424">
        <v>1.8</v>
      </c>
    </row>
    <row r="21" spans="2:22" ht="12.75"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</row>
    <row r="22" spans="1:21" ht="12.75">
      <c r="A22" s="430" t="s">
        <v>267</v>
      </c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T22" s="431"/>
      <c r="U22" s="431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69" r:id="rId1"/>
  <ignoredErrors>
    <ignoredError sqref="F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73"/>
  <sheetViews>
    <sheetView showGridLines="0" zoomScale="115" zoomScaleNormal="115" zoomScaleSheetLayoutView="100" zoomScalePageLayoutView="0" workbookViewId="0" topLeftCell="A1">
      <pane xSplit="3" ySplit="10" topLeftCell="AM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109375" defaultRowHeight="12.75"/>
  <cols>
    <col min="1" max="1" width="3.28125" style="22" customWidth="1"/>
    <col min="2" max="2" width="54.28125" style="22" customWidth="1"/>
    <col min="3" max="3" width="0.9921875" style="49" customWidth="1"/>
    <col min="4" max="8" width="9.00390625" style="22" customWidth="1"/>
    <col min="9" max="9" width="0.9921875" style="49" customWidth="1"/>
    <col min="10" max="14" width="9.28125" style="22" customWidth="1"/>
    <col min="15" max="15" width="0.9921875" style="49" customWidth="1"/>
    <col min="16" max="20" width="9.421875" style="22" customWidth="1"/>
    <col min="21" max="21" width="0.9921875" style="49" customWidth="1"/>
    <col min="22" max="26" width="8.8515625" style="22" customWidth="1"/>
    <col min="27" max="27" width="0.9921875" style="49" customWidth="1"/>
    <col min="28" max="32" width="9.28125" style="22" customWidth="1"/>
    <col min="33" max="33" width="0.9921875" style="49" customWidth="1"/>
    <col min="34" max="34" width="7.57421875" style="22" customWidth="1"/>
    <col min="35" max="36" width="7.57421875" style="176" customWidth="1"/>
    <col min="37" max="38" width="7.57421875" style="22" customWidth="1"/>
    <col min="39" max="39" width="8.7109375" style="22" customWidth="1"/>
    <col min="40" max="40" width="8.7109375" style="334" customWidth="1"/>
    <col min="41" max="43" width="8.7109375" style="22" customWidth="1"/>
    <col min="44" max="44" width="9.57421875" style="22" bestFit="1" customWidth="1"/>
    <col min="45" max="16384" width="8.7109375" style="22" customWidth="1"/>
  </cols>
  <sheetData>
    <row r="2" spans="1:40" s="16" customFormat="1" ht="30">
      <c r="A2" s="13"/>
      <c r="B2" s="374" t="s">
        <v>315</v>
      </c>
      <c r="C2" s="15"/>
      <c r="I2" s="111"/>
      <c r="O2" s="111"/>
      <c r="U2" s="111"/>
      <c r="AA2" s="111"/>
      <c r="AG2" s="111"/>
      <c r="AI2" s="176"/>
      <c r="AJ2" s="176"/>
      <c r="AN2" s="335"/>
    </row>
    <row r="3" spans="1:40" s="16" customFormat="1" ht="15">
      <c r="A3" s="13"/>
      <c r="B3" s="14"/>
      <c r="C3" s="15"/>
      <c r="I3" s="111"/>
      <c r="O3" s="111"/>
      <c r="U3" s="111"/>
      <c r="AA3" s="111"/>
      <c r="AG3" s="111"/>
      <c r="AI3" s="176"/>
      <c r="AJ3" s="176"/>
      <c r="AN3" s="335"/>
    </row>
    <row r="4" spans="2:43" s="48" customFormat="1" ht="12" customHeight="1">
      <c r="B4" s="13" t="s">
        <v>50</v>
      </c>
      <c r="C4" s="13"/>
      <c r="D4" s="85" t="s">
        <v>3</v>
      </c>
      <c r="E4" s="85" t="s">
        <v>4</v>
      </c>
      <c r="F4" s="85" t="s">
        <v>5</v>
      </c>
      <c r="G4" s="85" t="s">
        <v>6</v>
      </c>
      <c r="H4" s="85">
        <v>2014</v>
      </c>
      <c r="I4" s="51"/>
      <c r="J4" s="85" t="s">
        <v>7</v>
      </c>
      <c r="K4" s="85" t="s">
        <v>8</v>
      </c>
      <c r="L4" s="85" t="s">
        <v>9</v>
      </c>
      <c r="M4" s="85" t="s">
        <v>10</v>
      </c>
      <c r="N4" s="85">
        <v>2015</v>
      </c>
      <c r="O4" s="50"/>
      <c r="P4" s="85" t="s">
        <v>11</v>
      </c>
      <c r="Q4" s="85" t="s">
        <v>12</v>
      </c>
      <c r="R4" s="85" t="s">
        <v>13</v>
      </c>
      <c r="S4" s="85" t="s">
        <v>14</v>
      </c>
      <c r="T4" s="85">
        <v>2016</v>
      </c>
      <c r="U4" s="12"/>
      <c r="V4" s="85" t="s">
        <v>55</v>
      </c>
      <c r="W4" s="85" t="s">
        <v>56</v>
      </c>
      <c r="X4" s="85" t="s">
        <v>60</v>
      </c>
      <c r="Y4" s="85" t="s">
        <v>61</v>
      </c>
      <c r="Z4" s="85">
        <v>2017</v>
      </c>
      <c r="AA4" s="50"/>
      <c r="AB4" s="85" t="s">
        <v>186</v>
      </c>
      <c r="AC4" s="85" t="s">
        <v>190</v>
      </c>
      <c r="AD4" s="85" t="s">
        <v>195</v>
      </c>
      <c r="AE4" s="85" t="s">
        <v>202</v>
      </c>
      <c r="AF4" s="85">
        <v>2018</v>
      </c>
      <c r="AG4" s="12"/>
      <c r="AH4" s="85" t="s">
        <v>250</v>
      </c>
      <c r="AI4" s="85" t="s">
        <v>251</v>
      </c>
      <c r="AJ4" s="85" t="s">
        <v>276</v>
      </c>
      <c r="AK4" s="85" t="s">
        <v>278</v>
      </c>
      <c r="AL4" s="85">
        <v>2019</v>
      </c>
      <c r="AM4" s="85" t="s">
        <v>283</v>
      </c>
      <c r="AN4" s="336" t="s">
        <v>290</v>
      </c>
      <c r="AO4" s="336" t="s">
        <v>294</v>
      </c>
      <c r="AP4" s="336" t="s">
        <v>297</v>
      </c>
      <c r="AQ4" s="336">
        <v>2020</v>
      </c>
    </row>
    <row r="5" spans="2:43" s="48" customFormat="1" ht="12" customHeight="1">
      <c r="B5" s="151" t="s">
        <v>46</v>
      </c>
      <c r="C5" s="152"/>
      <c r="D5" s="153">
        <v>7041</v>
      </c>
      <c r="E5" s="154">
        <v>6787</v>
      </c>
      <c r="F5" s="154">
        <v>6994</v>
      </c>
      <c r="G5" s="154">
        <v>6624</v>
      </c>
      <c r="H5" s="154">
        <v>6862</v>
      </c>
      <c r="I5" s="113"/>
      <c r="J5" s="154">
        <v>5818</v>
      </c>
      <c r="K5" s="154">
        <v>6043</v>
      </c>
      <c r="L5" s="154">
        <v>5259</v>
      </c>
      <c r="M5" s="154">
        <v>4892</v>
      </c>
      <c r="N5" s="154">
        <v>5495</v>
      </c>
      <c r="O5" s="113"/>
      <c r="P5" s="154">
        <v>4672</v>
      </c>
      <c r="Q5" s="154">
        <v>4729</v>
      </c>
      <c r="R5" s="154">
        <v>4772</v>
      </c>
      <c r="S5" s="154">
        <v>5277</v>
      </c>
      <c r="T5" s="154">
        <v>4863</v>
      </c>
      <c r="U5" s="113"/>
      <c r="V5" s="154">
        <v>5831</v>
      </c>
      <c r="W5" s="154">
        <v>5662</v>
      </c>
      <c r="X5" s="154">
        <v>6349</v>
      </c>
      <c r="Y5" s="154">
        <v>6808</v>
      </c>
      <c r="Z5" s="154">
        <v>6166</v>
      </c>
      <c r="AA5" s="113"/>
      <c r="AB5" s="154">
        <v>6961</v>
      </c>
      <c r="AC5" s="154">
        <v>6872</v>
      </c>
      <c r="AD5" s="154">
        <v>6105</v>
      </c>
      <c r="AE5" s="154">
        <v>6172</v>
      </c>
      <c r="AF5" s="154">
        <v>6523</v>
      </c>
      <c r="AG5" s="113"/>
      <c r="AH5" s="154">
        <v>6214.92</v>
      </c>
      <c r="AI5" s="287">
        <v>6113</v>
      </c>
      <c r="AJ5" s="287">
        <v>5802</v>
      </c>
      <c r="AK5" s="287">
        <v>5881</v>
      </c>
      <c r="AL5" s="287">
        <v>5881</v>
      </c>
      <c r="AM5" s="287">
        <v>5637</v>
      </c>
      <c r="AN5" s="287">
        <v>5356</v>
      </c>
      <c r="AO5" s="287">
        <v>6519</v>
      </c>
      <c r="AP5" s="364">
        <v>7166.453125</v>
      </c>
      <c r="AQ5" s="364">
        <v>6180.6259842519685</v>
      </c>
    </row>
    <row r="6" spans="2:43" s="48" customFormat="1" ht="12" customHeight="1">
      <c r="B6" s="151" t="s">
        <v>47</v>
      </c>
      <c r="C6" s="152"/>
      <c r="D6" s="155">
        <v>20.48</v>
      </c>
      <c r="E6" s="20">
        <v>19.62</v>
      </c>
      <c r="F6" s="20">
        <v>19.76</v>
      </c>
      <c r="G6" s="20">
        <v>16.5</v>
      </c>
      <c r="H6" s="20">
        <v>19.08</v>
      </c>
      <c r="I6" s="53"/>
      <c r="J6" s="20">
        <v>16.71</v>
      </c>
      <c r="K6" s="20">
        <v>16.39</v>
      </c>
      <c r="L6" s="20">
        <v>14.91</v>
      </c>
      <c r="M6" s="20">
        <v>14.77</v>
      </c>
      <c r="N6" s="20">
        <v>15.68</v>
      </c>
      <c r="O6" s="53"/>
      <c r="P6" s="20">
        <v>14.85</v>
      </c>
      <c r="Q6" s="20">
        <v>16.78</v>
      </c>
      <c r="R6" s="20">
        <v>19.61</v>
      </c>
      <c r="S6" s="20">
        <v>17.19</v>
      </c>
      <c r="T6" s="20">
        <v>17.14</v>
      </c>
      <c r="U6" s="53"/>
      <c r="V6" s="20">
        <v>17.42</v>
      </c>
      <c r="W6" s="20">
        <v>17.21</v>
      </c>
      <c r="X6" s="20">
        <v>16.84</v>
      </c>
      <c r="Y6" s="20">
        <v>16.73</v>
      </c>
      <c r="Z6" s="20">
        <v>17.05</v>
      </c>
      <c r="AA6" s="53"/>
      <c r="AB6" s="20">
        <v>16.77</v>
      </c>
      <c r="AC6" s="20">
        <v>16.53</v>
      </c>
      <c r="AD6" s="20">
        <v>15.02</v>
      </c>
      <c r="AE6" s="20">
        <v>14.54</v>
      </c>
      <c r="AF6" s="20">
        <v>15.71</v>
      </c>
      <c r="AG6" s="53"/>
      <c r="AH6" s="20">
        <v>15.57</v>
      </c>
      <c r="AI6" s="288">
        <v>14.88</v>
      </c>
      <c r="AJ6" s="288">
        <v>16.98</v>
      </c>
      <c r="AK6" s="288">
        <v>17.32</v>
      </c>
      <c r="AL6" s="288">
        <v>17.32</v>
      </c>
      <c r="AM6" s="288">
        <v>16.91</v>
      </c>
      <c r="AN6" s="288">
        <v>16.38</v>
      </c>
      <c r="AO6" s="288">
        <v>24.26</v>
      </c>
      <c r="AP6" s="347">
        <v>24.390000000000004</v>
      </c>
      <c r="AQ6" s="347">
        <v>20.544999995275585</v>
      </c>
    </row>
    <row r="7" spans="2:43" s="48" customFormat="1" ht="12" customHeight="1">
      <c r="B7" s="151" t="s">
        <v>48</v>
      </c>
      <c r="C7" s="152"/>
      <c r="D7" s="155">
        <v>3.06</v>
      </c>
      <c r="E7" s="20">
        <v>3.04</v>
      </c>
      <c r="F7" s="20">
        <v>3.15</v>
      </c>
      <c r="G7" s="20">
        <v>3.37</v>
      </c>
      <c r="H7" s="20">
        <v>3.15</v>
      </c>
      <c r="I7" s="53"/>
      <c r="J7" s="20">
        <v>3.73</v>
      </c>
      <c r="K7" s="20">
        <v>3.7</v>
      </c>
      <c r="L7" s="20">
        <v>3.77</v>
      </c>
      <c r="M7" s="20">
        <v>3.89</v>
      </c>
      <c r="N7" s="20">
        <v>3.77</v>
      </c>
      <c r="O7" s="53"/>
      <c r="P7" s="20">
        <v>3.96</v>
      </c>
      <c r="Q7" s="20">
        <v>3.87</v>
      </c>
      <c r="R7" s="20">
        <v>3.89</v>
      </c>
      <c r="S7" s="20">
        <v>4.06</v>
      </c>
      <c r="T7" s="20">
        <v>3.94</v>
      </c>
      <c r="U7" s="53"/>
      <c r="V7" s="20">
        <v>4.0584828125</v>
      </c>
      <c r="W7" s="20">
        <v>3.8306918032786883</v>
      </c>
      <c r="X7" s="20">
        <v>3.63</v>
      </c>
      <c r="Y7" s="20">
        <v>3.6</v>
      </c>
      <c r="Z7" s="20">
        <v>3.78</v>
      </c>
      <c r="AA7" s="53"/>
      <c r="AB7" s="20">
        <v>3.4009</v>
      </c>
      <c r="AC7" s="20">
        <v>3.58</v>
      </c>
      <c r="AD7" s="20">
        <v>3.7</v>
      </c>
      <c r="AE7" s="20">
        <v>3.78</v>
      </c>
      <c r="AF7" s="20">
        <v>3.6227</v>
      </c>
      <c r="AG7" s="53"/>
      <c r="AH7" s="20">
        <v>3.7883</v>
      </c>
      <c r="AI7" s="288">
        <v>3.81</v>
      </c>
      <c r="AJ7" s="288">
        <v>3.88</v>
      </c>
      <c r="AK7" s="288">
        <v>3.844</v>
      </c>
      <c r="AL7" s="288">
        <v>3.844</v>
      </c>
      <c r="AM7" s="288">
        <v>3.92</v>
      </c>
      <c r="AN7" s="288">
        <v>4.09</v>
      </c>
      <c r="AO7" s="288">
        <v>3.8</v>
      </c>
      <c r="AP7" s="347">
        <v>3.780351562500001</v>
      </c>
      <c r="AQ7" s="347">
        <v>3.8978243137254918</v>
      </c>
    </row>
    <row r="8" spans="2:43" s="48" customFormat="1" ht="12" customHeight="1">
      <c r="B8" s="151" t="s">
        <v>49</v>
      </c>
      <c r="C8" s="152"/>
      <c r="D8" s="155">
        <v>3.0344</v>
      </c>
      <c r="E8" s="20">
        <v>3.0473</v>
      </c>
      <c r="F8" s="20">
        <v>3.2973</v>
      </c>
      <c r="G8" s="20">
        <v>3.5072</v>
      </c>
      <c r="H8" s="20">
        <f>+G8</f>
        <v>3.5072</v>
      </c>
      <c r="I8" s="53"/>
      <c r="J8" s="20">
        <v>3.8125</v>
      </c>
      <c r="K8" s="20">
        <v>3.7645</v>
      </c>
      <c r="L8" s="20">
        <v>3.7754</v>
      </c>
      <c r="M8" s="20">
        <v>3.9011</v>
      </c>
      <c r="N8" s="20">
        <f>+M8</f>
        <v>3.9011</v>
      </c>
      <c r="O8" s="53"/>
      <c r="P8" s="20">
        <v>3.759</v>
      </c>
      <c r="Q8" s="20">
        <v>3.9803</v>
      </c>
      <c r="R8" s="20">
        <v>3.8558</v>
      </c>
      <c r="S8" s="20">
        <v>4.1793</v>
      </c>
      <c r="T8" s="20">
        <f>+S8</f>
        <v>4.1793</v>
      </c>
      <c r="U8" s="53"/>
      <c r="V8" s="20">
        <v>3.95</v>
      </c>
      <c r="W8" s="20">
        <v>3.71</v>
      </c>
      <c r="X8" s="20">
        <v>3.65</v>
      </c>
      <c r="Y8" s="20">
        <v>3.48</v>
      </c>
      <c r="Z8" s="20">
        <v>3.48</v>
      </c>
      <c r="AA8" s="53"/>
      <c r="AB8" s="20">
        <v>3.4139</v>
      </c>
      <c r="AC8" s="20">
        <v>3.74</v>
      </c>
      <c r="AD8" s="20">
        <v>3.68</v>
      </c>
      <c r="AE8" s="20">
        <v>3.7597</v>
      </c>
      <c r="AF8" s="20">
        <v>3.7597</v>
      </c>
      <c r="AG8" s="53"/>
      <c r="AH8" s="20">
        <v>3.8365</v>
      </c>
      <c r="AI8" s="288">
        <v>3.73</v>
      </c>
      <c r="AJ8" s="288">
        <v>4</v>
      </c>
      <c r="AK8" s="288">
        <v>3.7977</v>
      </c>
      <c r="AL8" s="288">
        <v>3.7977</v>
      </c>
      <c r="AM8" s="288">
        <v>4.15</v>
      </c>
      <c r="AN8" s="288">
        <v>3.98</v>
      </c>
      <c r="AO8" s="288">
        <v>3.87</v>
      </c>
      <c r="AP8" s="347">
        <v>3.7584</v>
      </c>
      <c r="AQ8" s="347">
        <v>3.7584</v>
      </c>
    </row>
    <row r="9" spans="1:40" s="49" customFormat="1" ht="11.25">
      <c r="A9" s="21"/>
      <c r="B9" s="13"/>
      <c r="C9" s="13"/>
      <c r="D9" s="108"/>
      <c r="E9" s="109"/>
      <c r="F9" s="109"/>
      <c r="G9" s="109"/>
      <c r="H9" s="109"/>
      <c r="I9" s="54"/>
      <c r="J9" s="109"/>
      <c r="K9" s="109"/>
      <c r="L9" s="109"/>
      <c r="M9" s="109"/>
      <c r="N9" s="109"/>
      <c r="O9" s="54"/>
      <c r="P9" s="109"/>
      <c r="Q9" s="109"/>
      <c r="R9" s="109"/>
      <c r="S9" s="109"/>
      <c r="T9" s="109"/>
      <c r="U9" s="54"/>
      <c r="V9" s="109"/>
      <c r="W9" s="109"/>
      <c r="X9" s="109"/>
      <c r="Y9" s="109"/>
      <c r="Z9" s="109"/>
      <c r="AA9" s="54"/>
      <c r="AB9" s="109"/>
      <c r="AC9" s="109"/>
      <c r="AD9" s="109"/>
      <c r="AE9" s="109"/>
      <c r="AF9" s="109"/>
      <c r="AG9" s="54"/>
      <c r="AH9" s="109"/>
      <c r="AI9" s="110"/>
      <c r="AJ9" s="301"/>
      <c r="AK9" s="110"/>
      <c r="AN9" s="328"/>
    </row>
    <row r="10" spans="1:43" ht="11.25">
      <c r="A10" s="23"/>
      <c r="B10" s="13" t="s">
        <v>35</v>
      </c>
      <c r="C10" s="13"/>
      <c r="D10" s="107" t="s">
        <v>3</v>
      </c>
      <c r="E10" s="19" t="s">
        <v>4</v>
      </c>
      <c r="F10" s="19" t="s">
        <v>5</v>
      </c>
      <c r="G10" s="19" t="s">
        <v>6</v>
      </c>
      <c r="H10" s="19">
        <v>2014</v>
      </c>
      <c r="I10" s="55"/>
      <c r="J10" s="19" t="s">
        <v>7</v>
      </c>
      <c r="K10" s="19" t="s">
        <v>8</v>
      </c>
      <c r="L10" s="19" t="s">
        <v>9</v>
      </c>
      <c r="M10" s="19" t="s">
        <v>10</v>
      </c>
      <c r="N10" s="19">
        <v>2015</v>
      </c>
      <c r="O10" s="55"/>
      <c r="P10" s="19" t="s">
        <v>11</v>
      </c>
      <c r="Q10" s="19" t="s">
        <v>12</v>
      </c>
      <c r="R10" s="19" t="s">
        <v>13</v>
      </c>
      <c r="S10" s="19" t="s">
        <v>14</v>
      </c>
      <c r="T10" s="19">
        <v>2016</v>
      </c>
      <c r="U10" s="55"/>
      <c r="V10" s="19" t="s">
        <v>55</v>
      </c>
      <c r="W10" s="19" t="s">
        <v>56</v>
      </c>
      <c r="X10" s="19" t="s">
        <v>60</v>
      </c>
      <c r="Y10" s="19" t="s">
        <v>61</v>
      </c>
      <c r="Z10" s="19">
        <v>2017</v>
      </c>
      <c r="AA10" s="55"/>
      <c r="AB10" s="19" t="s">
        <v>186</v>
      </c>
      <c r="AC10" s="19" t="s">
        <v>190</v>
      </c>
      <c r="AD10" s="19" t="s">
        <v>195</v>
      </c>
      <c r="AE10" s="19" t="s">
        <v>202</v>
      </c>
      <c r="AF10" s="19">
        <v>2018</v>
      </c>
      <c r="AG10" s="55"/>
      <c r="AH10" s="19" t="s">
        <v>250</v>
      </c>
      <c r="AI10" s="19" t="s">
        <v>251</v>
      </c>
      <c r="AJ10" s="85" t="s">
        <v>276</v>
      </c>
      <c r="AK10" s="19" t="s">
        <v>278</v>
      </c>
      <c r="AL10" s="85">
        <v>2019</v>
      </c>
      <c r="AM10" s="85" t="s">
        <v>283</v>
      </c>
      <c r="AN10" s="336" t="s">
        <v>290</v>
      </c>
      <c r="AO10" s="336" t="s">
        <v>294</v>
      </c>
      <c r="AP10" s="336" t="s">
        <v>297</v>
      </c>
      <c r="AQ10" s="336">
        <v>2020</v>
      </c>
    </row>
    <row r="11" spans="1:43" s="27" customFormat="1" ht="12" customHeight="1">
      <c r="A11" s="321"/>
      <c r="B11" s="33" t="s">
        <v>189</v>
      </c>
      <c r="C11" s="24"/>
      <c r="D11" s="88">
        <v>4650</v>
      </c>
      <c r="E11" s="25">
        <v>4878</v>
      </c>
      <c r="F11" s="25">
        <v>5188</v>
      </c>
      <c r="G11" s="25">
        <v>5776</v>
      </c>
      <c r="H11" s="25">
        <v>20492</v>
      </c>
      <c r="I11" s="56"/>
      <c r="J11" s="25">
        <v>4731</v>
      </c>
      <c r="K11" s="25">
        <v>5329</v>
      </c>
      <c r="L11" s="25">
        <v>4800</v>
      </c>
      <c r="M11" s="25">
        <f>N11-SUM(J11:L11)</f>
        <v>5148</v>
      </c>
      <c r="N11" s="25">
        <v>20008</v>
      </c>
      <c r="O11" s="56"/>
      <c r="P11" s="25">
        <v>3912</v>
      </c>
      <c r="Q11" s="25">
        <v>4544</v>
      </c>
      <c r="R11" s="25">
        <v>4685</v>
      </c>
      <c r="S11" s="25">
        <v>6015</v>
      </c>
      <c r="T11" s="25">
        <v>19156</v>
      </c>
      <c r="U11" s="56"/>
      <c r="V11" s="25">
        <v>4911</v>
      </c>
      <c r="W11" s="25">
        <f>9713-4911</f>
        <v>4802</v>
      </c>
      <c r="X11" s="25">
        <v>4774</v>
      </c>
      <c r="Y11" s="25">
        <f>20358-V11-W11-X11</f>
        <v>5871</v>
      </c>
      <c r="Z11" s="25">
        <f aca="true" t="shared" si="0" ref="Z11:Z38">V11+W11+X11+Y11</f>
        <v>20358</v>
      </c>
      <c r="AA11" s="56"/>
      <c r="AB11" s="25">
        <v>4266</v>
      </c>
      <c r="AC11" s="25">
        <v>5157</v>
      </c>
      <c r="AD11" s="25">
        <v>5364</v>
      </c>
      <c r="AE11" s="25">
        <v>5739</v>
      </c>
      <c r="AF11" s="25">
        <v>20526</v>
      </c>
      <c r="AG11" s="56"/>
      <c r="AH11" s="25">
        <v>5488</v>
      </c>
      <c r="AI11" s="289">
        <f>11228-5488</f>
        <v>5740</v>
      </c>
      <c r="AJ11" s="289">
        <f>16869-5488-5740</f>
        <v>5641</v>
      </c>
      <c r="AK11" s="289">
        <v>5854</v>
      </c>
      <c r="AL11" s="289">
        <v>22723</v>
      </c>
      <c r="AM11" s="289">
        <v>5299</v>
      </c>
      <c r="AN11" s="289">
        <v>5649</v>
      </c>
      <c r="AO11" s="289">
        <v>5632</v>
      </c>
      <c r="AP11" s="82">
        <v>7052</v>
      </c>
      <c r="AQ11" s="82">
        <v>23632</v>
      </c>
    </row>
    <row r="12" spans="1:43" s="32" customFormat="1" ht="12" customHeight="1">
      <c r="A12" s="28"/>
      <c r="B12" s="320" t="s">
        <v>30</v>
      </c>
      <c r="C12" s="29"/>
      <c r="D12" s="92">
        <v>3800</v>
      </c>
      <c r="E12" s="30">
        <v>3927</v>
      </c>
      <c r="F12" s="30">
        <v>4116</v>
      </c>
      <c r="G12" s="30">
        <v>4790</v>
      </c>
      <c r="H12" s="30">
        <v>16633</v>
      </c>
      <c r="I12" s="57"/>
      <c r="J12" s="30">
        <v>3767</v>
      </c>
      <c r="K12" s="30">
        <v>4325</v>
      </c>
      <c r="L12" s="30">
        <v>3681</v>
      </c>
      <c r="M12" s="30">
        <v>4166</v>
      </c>
      <c r="N12" s="30">
        <v>15939</v>
      </c>
      <c r="O12" s="57"/>
      <c r="P12" s="30">
        <v>2979</v>
      </c>
      <c r="Q12" s="30">
        <v>3561</v>
      </c>
      <c r="R12" s="30">
        <v>3744</v>
      </c>
      <c r="S12" s="30">
        <v>4828</v>
      </c>
      <c r="T12" s="30">
        <v>15112</v>
      </c>
      <c r="U12" s="57"/>
      <c r="V12" s="30">
        <v>3896</v>
      </c>
      <c r="W12" s="30">
        <f>7701-3896</f>
        <v>3805</v>
      </c>
      <c r="X12" s="30">
        <f>11433-3896-3805</f>
        <v>3732</v>
      </c>
      <c r="Y12" s="30">
        <f>16024-V12-W12-X12</f>
        <v>4591</v>
      </c>
      <c r="Z12" s="30">
        <f t="shared" si="0"/>
        <v>16024</v>
      </c>
      <c r="AA12" s="57"/>
      <c r="AB12" s="30">
        <v>3206</v>
      </c>
      <c r="AC12" s="30">
        <v>3983</v>
      </c>
      <c r="AD12" s="30">
        <f>11317-3206-3983</f>
        <v>4128</v>
      </c>
      <c r="AE12" s="30">
        <v>4440</v>
      </c>
      <c r="AF12" s="30">
        <v>15757</v>
      </c>
      <c r="AG12" s="57"/>
      <c r="AH12" s="30">
        <v>4316</v>
      </c>
      <c r="AI12" s="242">
        <f>8831-4316</f>
        <v>4515</v>
      </c>
      <c r="AJ12" s="242">
        <f>13050-4316-4515</f>
        <v>4219</v>
      </c>
      <c r="AK12" s="242">
        <v>4633</v>
      </c>
      <c r="AL12" s="242">
        <v>17683</v>
      </c>
      <c r="AM12" s="30">
        <v>4225</v>
      </c>
      <c r="AN12" s="30">
        <v>4672</v>
      </c>
      <c r="AO12" s="30">
        <v>4463</v>
      </c>
      <c r="AP12" s="82">
        <v>5966</v>
      </c>
      <c r="AQ12" s="82">
        <v>19326</v>
      </c>
    </row>
    <row r="13" spans="1:43" s="32" customFormat="1" ht="12" customHeight="1">
      <c r="A13" s="28"/>
      <c r="B13" s="320" t="s">
        <v>31</v>
      </c>
      <c r="C13" s="29"/>
      <c r="D13" s="92">
        <v>452</v>
      </c>
      <c r="E13" s="30">
        <v>544</v>
      </c>
      <c r="F13" s="30">
        <v>657</v>
      </c>
      <c r="G13" s="30">
        <v>576</v>
      </c>
      <c r="H13" s="30">
        <v>2229</v>
      </c>
      <c r="I13" s="57"/>
      <c r="J13" s="30">
        <v>619</v>
      </c>
      <c r="K13" s="30">
        <v>605</v>
      </c>
      <c r="L13" s="30">
        <v>738</v>
      </c>
      <c r="M13" s="30">
        <v>615</v>
      </c>
      <c r="N13" s="30">
        <v>2577</v>
      </c>
      <c r="O13" s="57"/>
      <c r="P13" s="30">
        <v>588</v>
      </c>
      <c r="Q13" s="30">
        <v>610</v>
      </c>
      <c r="R13" s="30">
        <v>566</v>
      </c>
      <c r="S13" s="30">
        <v>771</v>
      </c>
      <c r="T13" s="30">
        <v>2535</v>
      </c>
      <c r="U13" s="57"/>
      <c r="V13" s="30">
        <v>580</v>
      </c>
      <c r="W13" s="30">
        <f>1181-580</f>
        <v>601</v>
      </c>
      <c r="X13" s="30">
        <f>1793-580-601</f>
        <v>612</v>
      </c>
      <c r="Y13" s="30">
        <f>2602-V13-W13-X13</f>
        <v>809</v>
      </c>
      <c r="Z13" s="30">
        <f t="shared" si="0"/>
        <v>2602</v>
      </c>
      <c r="AA13" s="57"/>
      <c r="AB13" s="30">
        <v>609</v>
      </c>
      <c r="AC13" s="30">
        <v>689</v>
      </c>
      <c r="AD13" s="30">
        <f>2047-609-689</f>
        <v>749</v>
      </c>
      <c r="AE13" s="30">
        <v>809</v>
      </c>
      <c r="AF13" s="30">
        <v>2856</v>
      </c>
      <c r="AG13" s="57"/>
      <c r="AH13" s="30">
        <v>676</v>
      </c>
      <c r="AI13" s="242">
        <f>1414-676</f>
        <v>738</v>
      </c>
      <c r="AJ13" s="242">
        <f>2311-676-738</f>
        <v>897</v>
      </c>
      <c r="AK13" s="242">
        <v>773</v>
      </c>
      <c r="AL13" s="242">
        <v>3084</v>
      </c>
      <c r="AM13" s="242">
        <v>632</v>
      </c>
      <c r="AN13" s="242">
        <v>637</v>
      </c>
      <c r="AO13" s="242">
        <v>757</v>
      </c>
      <c r="AP13" s="82">
        <v>677</v>
      </c>
      <c r="AQ13" s="82">
        <v>2703</v>
      </c>
    </row>
    <row r="14" spans="1:43" s="27" customFormat="1" ht="12" customHeight="1">
      <c r="A14" s="321"/>
      <c r="B14" s="33" t="s">
        <v>1</v>
      </c>
      <c r="C14" s="24"/>
      <c r="D14" s="88">
        <v>-3664</v>
      </c>
      <c r="E14" s="25">
        <v>-3633</v>
      </c>
      <c r="F14" s="25">
        <v>-3926</v>
      </c>
      <c r="G14" s="25">
        <v>-4528</v>
      </c>
      <c r="H14" s="25">
        <v>-15751</v>
      </c>
      <c r="I14" s="56"/>
      <c r="J14" s="25">
        <v>-3709</v>
      </c>
      <c r="K14" s="25">
        <v>-3972</v>
      </c>
      <c r="L14" s="25">
        <v>-3928</v>
      </c>
      <c r="M14" s="25">
        <v>-6550</v>
      </c>
      <c r="N14" s="25">
        <v>-18159</v>
      </c>
      <c r="O14" s="56"/>
      <c r="P14" s="25">
        <v>-3138</v>
      </c>
      <c r="Q14" s="25">
        <v>-3566</v>
      </c>
      <c r="R14" s="25">
        <v>-3651</v>
      </c>
      <c r="S14" s="25">
        <v>-4887</v>
      </c>
      <c r="T14" s="25">
        <v>-15242</v>
      </c>
      <c r="U14" s="56"/>
      <c r="V14" s="25">
        <v>-3548</v>
      </c>
      <c r="W14" s="25">
        <f>-7215+3548</f>
        <v>-3667</v>
      </c>
      <c r="X14" s="25">
        <v>-3574</v>
      </c>
      <c r="Y14" s="25">
        <f>-15204-V14-W14-X14</f>
        <v>-4415</v>
      </c>
      <c r="Z14" s="25">
        <f t="shared" si="0"/>
        <v>-15204</v>
      </c>
      <c r="AA14" s="56"/>
      <c r="AB14" s="25">
        <v>-3318</v>
      </c>
      <c r="AC14" s="25">
        <v>-4113</v>
      </c>
      <c r="AD14" s="25">
        <v>-4371</v>
      </c>
      <c r="AE14" s="25">
        <v>-4753</v>
      </c>
      <c r="AF14" s="25">
        <v>-16555</v>
      </c>
      <c r="AG14" s="56"/>
      <c r="AH14" s="25">
        <v>-4441</v>
      </c>
      <c r="AI14" s="289">
        <v>-4705</v>
      </c>
      <c r="AJ14" s="289">
        <v>-4431</v>
      </c>
      <c r="AK14" s="289">
        <v>-5190</v>
      </c>
      <c r="AL14" s="289">
        <v>-18767</v>
      </c>
      <c r="AM14" s="289">
        <v>-4486</v>
      </c>
      <c r="AN14" s="289">
        <v>-4648</v>
      </c>
      <c r="AO14" s="289">
        <v>-4296</v>
      </c>
      <c r="AP14" s="82">
        <v>-5551</v>
      </c>
      <c r="AQ14" s="82">
        <v>-18981</v>
      </c>
    </row>
    <row r="15" spans="1:43" s="32" customFormat="1" ht="12" customHeight="1">
      <c r="A15" s="28"/>
      <c r="B15" s="322" t="s">
        <v>51</v>
      </c>
      <c r="C15" s="321"/>
      <c r="D15" s="88">
        <f>D11+D14</f>
        <v>986</v>
      </c>
      <c r="E15" s="25">
        <f>E11+E14</f>
        <v>1245</v>
      </c>
      <c r="F15" s="25">
        <f>F11+F14</f>
        <v>1262</v>
      </c>
      <c r="G15" s="25">
        <f>G11+G14</f>
        <v>1248</v>
      </c>
      <c r="H15" s="25">
        <f>H11+H14</f>
        <v>4741</v>
      </c>
      <c r="I15" s="57"/>
      <c r="J15" s="25">
        <f>J11+J14</f>
        <v>1022</v>
      </c>
      <c r="K15" s="25">
        <f>K11+K14</f>
        <v>1357</v>
      </c>
      <c r="L15" s="25">
        <f>L11+L14</f>
        <v>872</v>
      </c>
      <c r="M15" s="25">
        <f>M11+M14</f>
        <v>-1402</v>
      </c>
      <c r="N15" s="25">
        <f>N11+N14</f>
        <v>1849</v>
      </c>
      <c r="O15" s="57"/>
      <c r="P15" s="25">
        <f aca="true" t="shared" si="1" ref="P15:Y15">P11+P14</f>
        <v>774</v>
      </c>
      <c r="Q15" s="25">
        <f t="shared" si="1"/>
        <v>978</v>
      </c>
      <c r="R15" s="25">
        <f t="shared" si="1"/>
        <v>1034</v>
      </c>
      <c r="S15" s="25">
        <f t="shared" si="1"/>
        <v>1128</v>
      </c>
      <c r="T15" s="25">
        <f t="shared" si="1"/>
        <v>3914</v>
      </c>
      <c r="U15" s="57"/>
      <c r="V15" s="25">
        <f t="shared" si="1"/>
        <v>1363</v>
      </c>
      <c r="W15" s="25">
        <f t="shared" si="1"/>
        <v>1135</v>
      </c>
      <c r="X15" s="25">
        <f t="shared" si="1"/>
        <v>1200</v>
      </c>
      <c r="Y15" s="25">
        <f t="shared" si="1"/>
        <v>1456</v>
      </c>
      <c r="Z15" s="25">
        <f>V15+W15+X15+Y15</f>
        <v>5154</v>
      </c>
      <c r="AA15" s="57"/>
      <c r="AB15" s="25">
        <v>948</v>
      </c>
      <c r="AC15" s="25">
        <v>1044</v>
      </c>
      <c r="AD15" s="25">
        <v>993</v>
      </c>
      <c r="AE15" s="25">
        <f>AE11+AE14</f>
        <v>986</v>
      </c>
      <c r="AF15" s="25">
        <f>AF11+AF14</f>
        <v>3971</v>
      </c>
      <c r="AG15" s="57"/>
      <c r="AH15" s="25">
        <f>AH11+AH14</f>
        <v>1047</v>
      </c>
      <c r="AI15" s="289">
        <f>AI11+AI14</f>
        <v>1035</v>
      </c>
      <c r="AJ15" s="289">
        <f>AJ11+AJ14</f>
        <v>1210</v>
      </c>
      <c r="AK15" s="289">
        <v>664</v>
      </c>
      <c r="AL15" s="289">
        <v>3956</v>
      </c>
      <c r="AM15" s="289">
        <v>813</v>
      </c>
      <c r="AN15" s="289">
        <v>1001</v>
      </c>
      <c r="AO15" s="289">
        <f>AO11+AO14</f>
        <v>1336</v>
      </c>
      <c r="AP15" s="82">
        <v>1501</v>
      </c>
      <c r="AQ15" s="82">
        <v>4651</v>
      </c>
    </row>
    <row r="16" spans="2:43" s="48" customFormat="1" ht="12" customHeight="1">
      <c r="B16" s="156" t="s">
        <v>15</v>
      </c>
      <c r="C16" s="157"/>
      <c r="D16" s="158">
        <v>-73</v>
      </c>
      <c r="E16" s="47">
        <v>-120</v>
      </c>
      <c r="F16" s="47">
        <v>-96</v>
      </c>
      <c r="G16" s="47">
        <v>-101</v>
      </c>
      <c r="H16" s="47">
        <v>-390</v>
      </c>
      <c r="I16" s="58"/>
      <c r="J16" s="47">
        <v>-93</v>
      </c>
      <c r="K16" s="47">
        <v>-70</v>
      </c>
      <c r="L16" s="47">
        <v>-143</v>
      </c>
      <c r="M16" s="47">
        <v>-107</v>
      </c>
      <c r="N16" s="47">
        <v>-413</v>
      </c>
      <c r="O16" s="58"/>
      <c r="P16" s="47">
        <v>-98</v>
      </c>
      <c r="Q16" s="47">
        <v>-94</v>
      </c>
      <c r="R16" s="47">
        <v>-104</v>
      </c>
      <c r="S16" s="47">
        <v>-114</v>
      </c>
      <c r="T16" s="47">
        <v>-410</v>
      </c>
      <c r="U16" s="58"/>
      <c r="V16" s="47">
        <v>-86</v>
      </c>
      <c r="W16" s="47">
        <f>-178+86</f>
        <v>-92</v>
      </c>
      <c r="X16" s="47">
        <v>-89</v>
      </c>
      <c r="Y16" s="47">
        <f>-371-V16-W16-X16</f>
        <v>-104</v>
      </c>
      <c r="Z16" s="47">
        <f t="shared" si="0"/>
        <v>-371</v>
      </c>
      <c r="AA16" s="58"/>
      <c r="AB16" s="47">
        <v>-82</v>
      </c>
      <c r="AC16" s="47">
        <v>-98</v>
      </c>
      <c r="AD16" s="47">
        <v>-92</v>
      </c>
      <c r="AE16" s="47">
        <v>-102</v>
      </c>
      <c r="AF16" s="47">
        <v>-374</v>
      </c>
      <c r="AG16" s="58"/>
      <c r="AH16" s="47">
        <v>-98</v>
      </c>
      <c r="AI16" s="242">
        <v>-104</v>
      </c>
      <c r="AJ16" s="242">
        <v>-109</v>
      </c>
      <c r="AK16" s="242">
        <v>-121</v>
      </c>
      <c r="AL16" s="242">
        <v>-432</v>
      </c>
      <c r="AM16" s="242">
        <v>-103</v>
      </c>
      <c r="AN16" s="242">
        <v>-109</v>
      </c>
      <c r="AO16" s="242">
        <v>-114</v>
      </c>
      <c r="AP16" s="82">
        <v>-106</v>
      </c>
      <c r="AQ16" s="82">
        <v>-432</v>
      </c>
    </row>
    <row r="17" spans="2:43" s="48" customFormat="1" ht="12" customHeight="1">
      <c r="B17" s="156" t="s">
        <v>16</v>
      </c>
      <c r="C17" s="157"/>
      <c r="D17" s="158">
        <v>-252</v>
      </c>
      <c r="E17" s="47">
        <v>-217</v>
      </c>
      <c r="F17" s="47">
        <v>-244</v>
      </c>
      <c r="G17" s="47">
        <v>-285</v>
      </c>
      <c r="H17" s="47">
        <v>-998</v>
      </c>
      <c r="I17" s="58"/>
      <c r="J17" s="47">
        <v>-206</v>
      </c>
      <c r="K17" s="47">
        <v>-244</v>
      </c>
      <c r="L17" s="47">
        <v>-221</v>
      </c>
      <c r="M17" s="47">
        <v>-259</v>
      </c>
      <c r="N17" s="47">
        <v>-930</v>
      </c>
      <c r="O17" s="58"/>
      <c r="P17" s="47">
        <v>-186</v>
      </c>
      <c r="Q17" s="47">
        <v>-256</v>
      </c>
      <c r="R17" s="47">
        <v>-235</v>
      </c>
      <c r="S17" s="47">
        <v>-283</v>
      </c>
      <c r="T17" s="47">
        <v>-960</v>
      </c>
      <c r="U17" s="58"/>
      <c r="V17" s="47">
        <v>-203</v>
      </c>
      <c r="W17" s="47">
        <f>-443+203</f>
        <v>-240</v>
      </c>
      <c r="X17" s="47">
        <v>-247</v>
      </c>
      <c r="Y17" s="47">
        <f>-972-V17-W17-X17</f>
        <v>-282</v>
      </c>
      <c r="Z17" s="47">
        <f t="shared" si="0"/>
        <v>-972</v>
      </c>
      <c r="AA17" s="58"/>
      <c r="AB17" s="47">
        <v>-207</v>
      </c>
      <c r="AC17" s="47">
        <v>-253</v>
      </c>
      <c r="AD17" s="47">
        <v>-254</v>
      </c>
      <c r="AE17" s="47">
        <v>-292</v>
      </c>
      <c r="AF17" s="47">
        <v>-1006</v>
      </c>
      <c r="AG17" s="58"/>
      <c r="AH17" s="47">
        <v>-210</v>
      </c>
      <c r="AI17" s="242">
        <v>-265</v>
      </c>
      <c r="AJ17" s="242">
        <v>-278</v>
      </c>
      <c r="AK17" s="242">
        <v>-316</v>
      </c>
      <c r="AL17" s="242">
        <v>-1069</v>
      </c>
      <c r="AM17" s="242">
        <v>-215</v>
      </c>
      <c r="AN17" s="242">
        <v>-247</v>
      </c>
      <c r="AO17" s="242">
        <v>-256</v>
      </c>
      <c r="AP17" s="82">
        <v>-340</v>
      </c>
      <c r="AQ17" s="82">
        <v>-1058</v>
      </c>
    </row>
    <row r="18" spans="1:43" s="32" customFormat="1" ht="12" customHeight="1">
      <c r="A18" s="28"/>
      <c r="B18" s="322" t="s">
        <v>52</v>
      </c>
      <c r="C18" s="321"/>
      <c r="D18" s="88">
        <f>D15+D16+D17</f>
        <v>661</v>
      </c>
      <c r="E18" s="25">
        <f>E15+E16+E17</f>
        <v>908</v>
      </c>
      <c r="F18" s="25">
        <f>F15+F16+F17</f>
        <v>922</v>
      </c>
      <c r="G18" s="25">
        <f>G15+G16+G17</f>
        <v>862</v>
      </c>
      <c r="H18" s="25">
        <f>H15+H16+H17</f>
        <v>3353</v>
      </c>
      <c r="I18" s="57"/>
      <c r="J18" s="25">
        <f>J15+J16+J17</f>
        <v>723</v>
      </c>
      <c r="K18" s="25">
        <f>K15+K16+K17</f>
        <v>1043</v>
      </c>
      <c r="L18" s="25">
        <f>L15+L16+L17</f>
        <v>508</v>
      </c>
      <c r="M18" s="25">
        <f>M15+M16+M17</f>
        <v>-1768</v>
      </c>
      <c r="N18" s="25">
        <f>N15+N16+N17</f>
        <v>506</v>
      </c>
      <c r="O18" s="57"/>
      <c r="P18" s="25">
        <f aca="true" t="shared" si="2" ref="P18:Y18">P15+P16+P17</f>
        <v>490</v>
      </c>
      <c r="Q18" s="25">
        <f t="shared" si="2"/>
        <v>628</v>
      </c>
      <c r="R18" s="25">
        <f t="shared" si="2"/>
        <v>695</v>
      </c>
      <c r="S18" s="25">
        <f t="shared" si="2"/>
        <v>731</v>
      </c>
      <c r="T18" s="25">
        <f t="shared" si="2"/>
        <v>2544</v>
      </c>
      <c r="U18" s="57"/>
      <c r="V18" s="25">
        <f t="shared" si="2"/>
        <v>1074</v>
      </c>
      <c r="W18" s="25">
        <f t="shared" si="2"/>
        <v>803</v>
      </c>
      <c r="X18" s="25">
        <f t="shared" si="2"/>
        <v>864</v>
      </c>
      <c r="Y18" s="25">
        <f t="shared" si="2"/>
        <v>1070</v>
      </c>
      <c r="Z18" s="25">
        <f t="shared" si="0"/>
        <v>3811</v>
      </c>
      <c r="AA18" s="57"/>
      <c r="AB18" s="25">
        <f>AB15+AB16+AB17</f>
        <v>659</v>
      </c>
      <c r="AC18" s="25">
        <f>AC15+AC16+AC17</f>
        <v>693</v>
      </c>
      <c r="AD18" s="25">
        <f>AD15+AD16+AD17</f>
        <v>647</v>
      </c>
      <c r="AE18" s="25">
        <f>AE15+AE16+AE17</f>
        <v>592</v>
      </c>
      <c r="AF18" s="25">
        <f>AF15+AF16+AF17</f>
        <v>2591</v>
      </c>
      <c r="AG18" s="57"/>
      <c r="AH18" s="25">
        <f>AH15+AH16+AH17</f>
        <v>739</v>
      </c>
      <c r="AI18" s="289">
        <f>AI15+AI16+AI17</f>
        <v>666</v>
      </c>
      <c r="AJ18" s="289">
        <f>AJ15+AJ16+AJ17</f>
        <v>823</v>
      </c>
      <c r="AK18" s="289">
        <v>227</v>
      </c>
      <c r="AL18" s="289">
        <v>2455</v>
      </c>
      <c r="AM18" s="289">
        <v>495</v>
      </c>
      <c r="AN18" s="289">
        <v>645</v>
      </c>
      <c r="AO18" s="289">
        <f>AO15+AO16+AO17</f>
        <v>966</v>
      </c>
      <c r="AP18" s="82">
        <v>1055</v>
      </c>
      <c r="AQ18" s="82">
        <v>3161</v>
      </c>
    </row>
    <row r="19" spans="1:43" s="32" customFormat="1" ht="12" customHeight="1">
      <c r="A19" s="28"/>
      <c r="B19" s="320" t="s">
        <v>30</v>
      </c>
      <c r="C19" s="29"/>
      <c r="D19" s="92">
        <f>3800-3024</f>
        <v>776</v>
      </c>
      <c r="E19" s="30">
        <f>-6127+7727-776</f>
        <v>824</v>
      </c>
      <c r="F19" s="30">
        <f>-9341+11843-776-824</f>
        <v>902</v>
      </c>
      <c r="G19" s="30">
        <v>1011</v>
      </c>
      <c r="H19" s="30">
        <v>3513</v>
      </c>
      <c r="I19" s="57"/>
      <c r="J19" s="30">
        <v>869</v>
      </c>
      <c r="K19" s="30">
        <v>1066</v>
      </c>
      <c r="L19" s="30">
        <v>662</v>
      </c>
      <c r="M19" s="30">
        <v>687</v>
      </c>
      <c r="N19" s="30">
        <v>3284</v>
      </c>
      <c r="O19" s="57"/>
      <c r="P19" s="30">
        <v>459</v>
      </c>
      <c r="Q19" s="30">
        <v>553</v>
      </c>
      <c r="R19" s="30">
        <v>682</v>
      </c>
      <c r="S19" s="30">
        <v>901</v>
      </c>
      <c r="T19" s="30">
        <v>2595</v>
      </c>
      <c r="U19" s="57"/>
      <c r="V19" s="30">
        <v>1065</v>
      </c>
      <c r="W19" s="30">
        <f>1735-1065</f>
        <v>670</v>
      </c>
      <c r="X19" s="30">
        <f>2447-1065-670</f>
        <v>712</v>
      </c>
      <c r="Y19" s="30">
        <f>1323-1065-670-712</f>
        <v>-1124</v>
      </c>
      <c r="Z19" s="30">
        <f t="shared" si="0"/>
        <v>1323</v>
      </c>
      <c r="AA19" s="57"/>
      <c r="AB19" s="30">
        <v>520</v>
      </c>
      <c r="AC19" s="30">
        <f>1166-520</f>
        <v>646</v>
      </c>
      <c r="AD19" s="30">
        <f>1768-520-646</f>
        <v>602</v>
      </c>
      <c r="AE19" s="30">
        <v>529</v>
      </c>
      <c r="AF19" s="30">
        <v>2297</v>
      </c>
      <c r="AG19" s="57"/>
      <c r="AH19" s="30">
        <v>725</v>
      </c>
      <c r="AI19" s="242">
        <f>1333-725</f>
        <v>608</v>
      </c>
      <c r="AJ19" s="242">
        <f>1975-725-608</f>
        <v>642</v>
      </c>
      <c r="AK19" s="242">
        <v>417</v>
      </c>
      <c r="AL19" s="242">
        <v>2392</v>
      </c>
      <c r="AM19" s="242">
        <v>616</v>
      </c>
      <c r="AN19" s="242">
        <v>720</v>
      </c>
      <c r="AO19" s="242">
        <f>2156-616-720</f>
        <v>820</v>
      </c>
      <c r="AP19" s="82">
        <v>1009</v>
      </c>
      <c r="AQ19" s="82">
        <f>AP19+AO19+AN19+AM19</f>
        <v>3165</v>
      </c>
    </row>
    <row r="20" spans="1:43" s="32" customFormat="1" ht="12" customHeight="1">
      <c r="A20" s="28"/>
      <c r="B20" s="320" t="s">
        <v>31</v>
      </c>
      <c r="C20" s="29"/>
      <c r="D20" s="92">
        <f>-558+452</f>
        <v>-106</v>
      </c>
      <c r="E20" s="30">
        <f>-1055+996--106</f>
        <v>47</v>
      </c>
      <c r="F20" s="30">
        <f>-1726+1653--106-47</f>
        <v>-14</v>
      </c>
      <c r="G20" s="30">
        <v>-86</v>
      </c>
      <c r="H20" s="30">
        <v>-159</v>
      </c>
      <c r="I20" s="57"/>
      <c r="J20" s="30">
        <v>-164</v>
      </c>
      <c r="K20" s="30">
        <v>-62</v>
      </c>
      <c r="L20" s="30">
        <v>-173</v>
      </c>
      <c r="M20" s="30">
        <v>-2493</v>
      </c>
      <c r="N20" s="30">
        <v>-2892</v>
      </c>
      <c r="O20" s="57"/>
      <c r="P20" s="30">
        <v>11</v>
      </c>
      <c r="Q20" s="30">
        <v>13</v>
      </c>
      <c r="R20" s="30">
        <v>-4</v>
      </c>
      <c r="S20" s="30">
        <v>-191</v>
      </c>
      <c r="T20" s="30">
        <v>-171</v>
      </c>
      <c r="U20" s="57"/>
      <c r="V20" s="30">
        <v>-1</v>
      </c>
      <c r="W20" s="30">
        <f>101--1</f>
        <v>102</v>
      </c>
      <c r="X20" s="30">
        <f>217-102+1</f>
        <v>116</v>
      </c>
      <c r="Y20" s="30">
        <f>-561-102+1-116</f>
        <v>-778</v>
      </c>
      <c r="Z20" s="30">
        <f t="shared" si="0"/>
        <v>-561</v>
      </c>
      <c r="AA20" s="57"/>
      <c r="AB20" s="30">
        <v>124</v>
      </c>
      <c r="AC20" s="30">
        <f>160-124</f>
        <v>36</v>
      </c>
      <c r="AD20" s="30">
        <f>193-36-124</f>
        <v>33</v>
      </c>
      <c r="AE20" s="30">
        <v>68</v>
      </c>
      <c r="AF20" s="30">
        <v>261</v>
      </c>
      <c r="AG20" s="57"/>
      <c r="AH20" s="30">
        <v>45</v>
      </c>
      <c r="AI20" s="242">
        <f>120-45</f>
        <v>75</v>
      </c>
      <c r="AJ20" s="242">
        <f>223-45-75</f>
        <v>103</v>
      </c>
      <c r="AK20" s="242">
        <v>96</v>
      </c>
      <c r="AL20" s="242">
        <v>319</v>
      </c>
      <c r="AM20" s="242">
        <v>-92</v>
      </c>
      <c r="AN20" s="242">
        <v>5</v>
      </c>
      <c r="AO20" s="242">
        <f>62--92-5</f>
        <v>149</v>
      </c>
      <c r="AP20" s="82">
        <v>82</v>
      </c>
      <c r="AQ20" s="82">
        <f>AP20+AO20+AN20+AM20</f>
        <v>144</v>
      </c>
    </row>
    <row r="21" spans="1:43" s="27" customFormat="1" ht="12" customHeight="1">
      <c r="A21" s="321"/>
      <c r="B21" s="33" t="s">
        <v>0</v>
      </c>
      <c r="C21" s="24"/>
      <c r="D21" s="88">
        <f>SUM(D22:D25)</f>
        <v>60</v>
      </c>
      <c r="E21" s="25">
        <f>SUM(E22:E25)</f>
        <v>66</v>
      </c>
      <c r="F21" s="25">
        <f>SUM(F22:F25)</f>
        <v>74</v>
      </c>
      <c r="G21" s="25">
        <f>SUM(G22:G25)</f>
        <v>-185</v>
      </c>
      <c r="H21" s="25">
        <f>SUM(H22:H25)</f>
        <v>15</v>
      </c>
      <c r="I21" s="56"/>
      <c r="J21" s="25">
        <f>SUM(J22:J25)</f>
        <v>82</v>
      </c>
      <c r="K21" s="25">
        <f>SUM(K22:K25)</f>
        <v>94</v>
      </c>
      <c r="L21" s="25">
        <f>SUM(L22:L25)</f>
        <v>-170</v>
      </c>
      <c r="M21" s="25">
        <f>SUM(M22:M25)</f>
        <v>-4668</v>
      </c>
      <c r="N21" s="25">
        <f>SUM(N22:N25)</f>
        <v>-4662</v>
      </c>
      <c r="O21" s="56"/>
      <c r="P21" s="25">
        <f aca="true" t="shared" si="3" ref="P21:Y21">SUM(P22:P25)</f>
        <v>-68</v>
      </c>
      <c r="Q21" s="25">
        <f t="shared" si="3"/>
        <v>-102</v>
      </c>
      <c r="R21" s="25">
        <f t="shared" si="3"/>
        <v>-192</v>
      </c>
      <c r="S21" s="25">
        <f t="shared" si="3"/>
        <v>-4599</v>
      </c>
      <c r="T21" s="25">
        <f t="shared" si="3"/>
        <v>-4961</v>
      </c>
      <c r="U21" s="56"/>
      <c r="V21" s="25">
        <f t="shared" si="3"/>
        <v>82</v>
      </c>
      <c r="W21" s="25">
        <f t="shared" si="3"/>
        <v>-136</v>
      </c>
      <c r="X21" s="25">
        <f t="shared" si="3"/>
        <v>79</v>
      </c>
      <c r="Y21" s="25">
        <f t="shared" si="3"/>
        <v>-180</v>
      </c>
      <c r="Z21" s="25">
        <f t="shared" si="0"/>
        <v>-155</v>
      </c>
      <c r="AA21" s="56"/>
      <c r="AB21" s="25">
        <v>81</v>
      </c>
      <c r="AC21" s="25">
        <f>SUM(AC22:AC25)</f>
        <v>-209</v>
      </c>
      <c r="AD21" s="25">
        <f>SUM(AD22:AD25)</f>
        <v>62</v>
      </c>
      <c r="AE21" s="25">
        <f>SUM(AE22:AE25)</f>
        <v>394</v>
      </c>
      <c r="AF21" s="25">
        <f>AF22+AF23+AF24+AF25</f>
        <v>328</v>
      </c>
      <c r="AG21" s="56"/>
      <c r="AH21" s="25">
        <f>AH22+AH23+AH24+AH25</f>
        <v>82</v>
      </c>
      <c r="AI21" s="289">
        <f>AI22+AI23+AI24+AI25</f>
        <v>21</v>
      </c>
      <c r="AJ21" s="289">
        <f>AJ22+AJ23+AJ24+AJ25</f>
        <v>-17</v>
      </c>
      <c r="AK21" s="289">
        <v>-77</v>
      </c>
      <c r="AL21" s="289">
        <v>9</v>
      </c>
      <c r="AM21" s="289">
        <v>96</v>
      </c>
      <c r="AN21" s="289">
        <v>-113</v>
      </c>
      <c r="AO21" s="289">
        <f>AO22+AO23+AO24+AO25</f>
        <v>95</v>
      </c>
      <c r="AP21" s="82">
        <v>169</v>
      </c>
      <c r="AQ21" s="82">
        <v>247</v>
      </c>
    </row>
    <row r="22" spans="1:43" s="32" customFormat="1" ht="19.5" customHeight="1">
      <c r="A22" s="28"/>
      <c r="B22" s="34" t="s">
        <v>268</v>
      </c>
      <c r="C22" s="8"/>
      <c r="D22" s="92">
        <v>0</v>
      </c>
      <c r="E22" s="30">
        <v>0</v>
      </c>
      <c r="F22" s="30">
        <v>-1</v>
      </c>
      <c r="G22" s="30">
        <v>-251</v>
      </c>
      <c r="H22" s="30">
        <v>-252</v>
      </c>
      <c r="I22" s="57"/>
      <c r="J22" s="30">
        <v>0</v>
      </c>
      <c r="K22" s="30">
        <v>-1</v>
      </c>
      <c r="L22" s="30">
        <v>-312</v>
      </c>
      <c r="M22" s="30">
        <f>N22-SUM(J22:L22)</f>
        <v>-4144</v>
      </c>
      <c r="N22" s="30">
        <v>-4457</v>
      </c>
      <c r="O22" s="57"/>
      <c r="P22" s="30">
        <v>-221</v>
      </c>
      <c r="Q22" s="30">
        <v>-255</v>
      </c>
      <c r="R22" s="30">
        <v>-351</v>
      </c>
      <c r="S22" s="30">
        <v>-373</v>
      </c>
      <c r="T22" s="30">
        <v>-1200</v>
      </c>
      <c r="U22" s="57"/>
      <c r="V22" s="30">
        <v>0</v>
      </c>
      <c r="W22" s="30">
        <v>-215</v>
      </c>
      <c r="X22" s="30">
        <v>0</v>
      </c>
      <c r="Y22" s="30">
        <f>-474+215</f>
        <v>-259</v>
      </c>
      <c r="Z22" s="30">
        <f t="shared" si="0"/>
        <v>-474</v>
      </c>
      <c r="AA22" s="57"/>
      <c r="AB22" s="30">
        <v>0</v>
      </c>
      <c r="AC22" s="30">
        <v>-254</v>
      </c>
      <c r="AD22" s="30">
        <v>-4</v>
      </c>
      <c r="AE22" s="30">
        <v>-404</v>
      </c>
      <c r="AF22" s="30">
        <v>-662</v>
      </c>
      <c r="AG22" s="57"/>
      <c r="AH22" s="30">
        <v>0</v>
      </c>
      <c r="AI22" s="242">
        <v>-63</v>
      </c>
      <c r="AJ22" s="242">
        <v>-106</v>
      </c>
      <c r="AK22" s="242">
        <v>-269</v>
      </c>
      <c r="AL22" s="242">
        <v>-438</v>
      </c>
      <c r="AM22" s="242">
        <v>0</v>
      </c>
      <c r="AN22" s="242">
        <v>-210</v>
      </c>
      <c r="AO22" s="242">
        <v>4</v>
      </c>
      <c r="AP22" s="82">
        <f>AQ22-AO22-AN22-AM22</f>
        <v>2</v>
      </c>
      <c r="AQ22" s="82">
        <v>-204</v>
      </c>
    </row>
    <row r="23" spans="1:43" s="32" customFormat="1" ht="12" customHeight="1">
      <c r="A23" s="159"/>
      <c r="B23" s="62" t="s">
        <v>212</v>
      </c>
      <c r="C23" s="7"/>
      <c r="D23" s="92">
        <v>0</v>
      </c>
      <c r="E23" s="30">
        <v>0</v>
      </c>
      <c r="F23" s="30">
        <v>0</v>
      </c>
      <c r="G23" s="30">
        <v>-15</v>
      </c>
      <c r="H23" s="30">
        <v>-15</v>
      </c>
      <c r="I23" s="57"/>
      <c r="J23" s="30">
        <v>0</v>
      </c>
      <c r="K23" s="30">
        <v>0</v>
      </c>
      <c r="L23" s="30">
        <v>0</v>
      </c>
      <c r="M23" s="30">
        <f>N23-SUM(J23:L23)</f>
        <v>-671</v>
      </c>
      <c r="N23" s="30">
        <v>-671</v>
      </c>
      <c r="O23" s="57"/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57"/>
      <c r="V23" s="30">
        <v>0</v>
      </c>
      <c r="W23" s="30">
        <v>0</v>
      </c>
      <c r="X23" s="30">
        <v>0</v>
      </c>
      <c r="Y23" s="30">
        <v>0</v>
      </c>
      <c r="Z23" s="30">
        <f t="shared" si="0"/>
        <v>0</v>
      </c>
      <c r="AA23" s="57"/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57"/>
      <c r="AH23" s="30">
        <v>0</v>
      </c>
      <c r="AI23" s="242">
        <v>0</v>
      </c>
      <c r="AJ23" s="242">
        <v>0</v>
      </c>
      <c r="AK23" s="242">
        <v>0</v>
      </c>
      <c r="AL23" s="242">
        <v>0</v>
      </c>
      <c r="AM23" s="242">
        <v>0</v>
      </c>
      <c r="AN23" s="242">
        <v>0</v>
      </c>
      <c r="AO23" s="242">
        <v>0</v>
      </c>
      <c r="AP23" s="82">
        <v>0</v>
      </c>
      <c r="AQ23" s="82">
        <v>0</v>
      </c>
    </row>
    <row r="24" spans="1:43" s="32" customFormat="1" ht="22.5">
      <c r="A24" s="159"/>
      <c r="B24" s="62" t="s">
        <v>211</v>
      </c>
      <c r="C24" s="7"/>
      <c r="D24" s="92">
        <v>0</v>
      </c>
      <c r="E24" s="30">
        <v>0</v>
      </c>
      <c r="F24" s="30">
        <v>0</v>
      </c>
      <c r="G24" s="30">
        <v>0</v>
      </c>
      <c r="H24" s="30">
        <v>0</v>
      </c>
      <c r="I24" s="57"/>
      <c r="J24" s="30">
        <v>0</v>
      </c>
      <c r="K24" s="30">
        <v>0</v>
      </c>
      <c r="L24" s="30">
        <v>0</v>
      </c>
      <c r="M24" s="30">
        <f>N24-SUM(J24:L24)</f>
        <v>0</v>
      </c>
      <c r="N24" s="30">
        <v>0</v>
      </c>
      <c r="O24" s="57"/>
      <c r="P24" s="30">
        <v>0</v>
      </c>
      <c r="Q24" s="30">
        <v>0</v>
      </c>
      <c r="R24" s="30">
        <v>0</v>
      </c>
      <c r="S24" s="30">
        <v>-4394</v>
      </c>
      <c r="T24" s="30">
        <v>-4394</v>
      </c>
      <c r="U24" s="57"/>
      <c r="V24" s="30">
        <v>0</v>
      </c>
      <c r="W24" s="30">
        <v>0</v>
      </c>
      <c r="X24" s="30">
        <v>0</v>
      </c>
      <c r="Y24" s="30">
        <v>0</v>
      </c>
      <c r="Z24" s="30">
        <f t="shared" si="0"/>
        <v>0</v>
      </c>
      <c r="AA24" s="57"/>
      <c r="AB24" s="30">
        <v>0</v>
      </c>
      <c r="AC24" s="30">
        <v>0</v>
      </c>
      <c r="AD24" s="30">
        <v>0</v>
      </c>
      <c r="AE24" s="30">
        <v>733</v>
      </c>
      <c r="AF24" s="30">
        <v>733</v>
      </c>
      <c r="AG24" s="57"/>
      <c r="AH24" s="30">
        <v>0</v>
      </c>
      <c r="AI24" s="242">
        <v>0</v>
      </c>
      <c r="AJ24" s="242">
        <v>0</v>
      </c>
      <c r="AK24" s="242">
        <v>106</v>
      </c>
      <c r="AL24" s="242">
        <v>106</v>
      </c>
      <c r="AM24" s="242">
        <v>0</v>
      </c>
      <c r="AN24" s="242">
        <v>0</v>
      </c>
      <c r="AO24" s="242">
        <v>0</v>
      </c>
      <c r="AP24" s="82">
        <v>0</v>
      </c>
      <c r="AQ24" s="82">
        <v>0</v>
      </c>
    </row>
    <row r="25" spans="1:43" s="32" customFormat="1" ht="11.25">
      <c r="A25" s="28"/>
      <c r="B25" s="34" t="s">
        <v>39</v>
      </c>
      <c r="C25" s="8"/>
      <c r="D25" s="92">
        <v>60</v>
      </c>
      <c r="E25" s="30">
        <v>66</v>
      </c>
      <c r="F25" s="30">
        <v>75</v>
      </c>
      <c r="G25" s="30">
        <v>81</v>
      </c>
      <c r="H25" s="30">
        <v>282</v>
      </c>
      <c r="I25" s="57"/>
      <c r="J25" s="30">
        <v>82</v>
      </c>
      <c r="K25" s="30">
        <v>95</v>
      </c>
      <c r="L25" s="30">
        <v>142</v>
      </c>
      <c r="M25" s="30">
        <f>N25-SUM(J25:L25)</f>
        <v>147</v>
      </c>
      <c r="N25" s="30">
        <v>466</v>
      </c>
      <c r="O25" s="57"/>
      <c r="P25" s="30">
        <v>153</v>
      </c>
      <c r="Q25" s="30">
        <v>153</v>
      </c>
      <c r="R25" s="30">
        <v>159</v>
      </c>
      <c r="S25" s="30">
        <v>168</v>
      </c>
      <c r="T25" s="30">
        <v>633</v>
      </c>
      <c r="U25" s="57"/>
      <c r="V25" s="30">
        <v>82</v>
      </c>
      <c r="W25" s="30">
        <v>79</v>
      </c>
      <c r="X25" s="30">
        <v>79</v>
      </c>
      <c r="Y25" s="30">
        <f>319-V25-W25-X25</f>
        <v>79</v>
      </c>
      <c r="Z25" s="30">
        <f t="shared" si="0"/>
        <v>319</v>
      </c>
      <c r="AA25" s="57"/>
      <c r="AB25" s="30">
        <v>81</v>
      </c>
      <c r="AC25" s="30">
        <v>45</v>
      </c>
      <c r="AD25" s="30">
        <v>66</v>
      </c>
      <c r="AE25" s="30">
        <v>65</v>
      </c>
      <c r="AF25" s="30">
        <v>257</v>
      </c>
      <c r="AG25" s="57"/>
      <c r="AH25" s="30">
        <v>82</v>
      </c>
      <c r="AI25" s="242">
        <v>84</v>
      </c>
      <c r="AJ25" s="242">
        <v>89</v>
      </c>
      <c r="AK25" s="242">
        <v>86</v>
      </c>
      <c r="AL25" s="242">
        <v>341</v>
      </c>
      <c r="AM25" s="242">
        <v>96</v>
      </c>
      <c r="AN25" s="242">
        <v>97</v>
      </c>
      <c r="AO25" s="242">
        <v>91</v>
      </c>
      <c r="AP25" s="82">
        <v>93</v>
      </c>
      <c r="AQ25" s="82">
        <v>377</v>
      </c>
    </row>
    <row r="26" spans="1:43" s="27" customFormat="1" ht="11.25">
      <c r="A26" s="321"/>
      <c r="B26" s="33" t="s">
        <v>40</v>
      </c>
      <c r="C26" s="24"/>
      <c r="D26" s="88">
        <f>SUM(D27:D30)</f>
        <v>-47</v>
      </c>
      <c r="E26" s="25">
        <f>SUM(E27:E30)</f>
        <v>-5</v>
      </c>
      <c r="F26" s="25">
        <f>SUM(F27:F30)</f>
        <v>73</v>
      </c>
      <c r="G26" s="25">
        <f>SUM(G27:G30)</f>
        <v>35</v>
      </c>
      <c r="H26" s="25">
        <f>SUM(H27:H30)</f>
        <v>56</v>
      </c>
      <c r="I26" s="56"/>
      <c r="J26" s="25">
        <f>SUM(J27:J30)</f>
        <v>-92</v>
      </c>
      <c r="K26" s="25">
        <f>SUM(K27:K30)</f>
        <v>14</v>
      </c>
      <c r="L26" s="25">
        <f>SUM(L27:L30)</f>
        <v>-138</v>
      </c>
      <c r="M26" s="25">
        <f>SUM(M27:M30)</f>
        <v>-444</v>
      </c>
      <c r="N26" s="25">
        <f>SUM(N27:N30)</f>
        <v>-660</v>
      </c>
      <c r="O26" s="56"/>
      <c r="P26" s="25">
        <f aca="true" t="shared" si="4" ref="P26:Y26">SUM(P27:P30)</f>
        <v>-309</v>
      </c>
      <c r="Q26" s="25">
        <f t="shared" si="4"/>
        <v>203</v>
      </c>
      <c r="R26" s="25">
        <f t="shared" si="4"/>
        <v>-164</v>
      </c>
      <c r="S26" s="25">
        <f t="shared" si="4"/>
        <v>-532</v>
      </c>
      <c r="T26" s="25">
        <f t="shared" si="4"/>
        <v>-802</v>
      </c>
      <c r="U26" s="56"/>
      <c r="V26" s="25">
        <f t="shared" si="4"/>
        <v>-426</v>
      </c>
      <c r="W26" s="25">
        <f t="shared" si="4"/>
        <v>-432</v>
      </c>
      <c r="X26" s="25">
        <f t="shared" si="4"/>
        <v>-204</v>
      </c>
      <c r="Y26" s="25">
        <f t="shared" si="4"/>
        <v>-1315</v>
      </c>
      <c r="Z26" s="25">
        <f t="shared" si="0"/>
        <v>-2377</v>
      </c>
      <c r="AA26" s="56"/>
      <c r="AB26" s="25">
        <v>-191</v>
      </c>
      <c r="AC26" s="25">
        <v>554</v>
      </c>
      <c r="AD26" s="25">
        <v>-184</v>
      </c>
      <c r="AE26" s="25">
        <f>SUM(AE27:AE30)</f>
        <v>129</v>
      </c>
      <c r="AF26" s="25">
        <f>SUM(AF27:AF30)</f>
        <v>308</v>
      </c>
      <c r="AG26" s="56"/>
      <c r="AH26" s="25">
        <f>SUM(AH27:AH30)</f>
        <v>197</v>
      </c>
      <c r="AI26" s="289">
        <f>SUM(AI27:AI30)</f>
        <v>-167</v>
      </c>
      <c r="AJ26" s="289">
        <f>SUM(AJ27:AJ30)</f>
        <v>720</v>
      </c>
      <c r="AK26" s="289">
        <v>-564</v>
      </c>
      <c r="AL26" s="289">
        <v>186</v>
      </c>
      <c r="AM26" s="289">
        <f>1182-342</f>
        <v>840</v>
      </c>
      <c r="AN26" s="289">
        <v>-680</v>
      </c>
      <c r="AO26" s="289">
        <f>SUM(AO27:AO30)</f>
        <v>-389</v>
      </c>
      <c r="AP26" s="82">
        <v>-395</v>
      </c>
      <c r="AQ26" s="82">
        <v>-624</v>
      </c>
    </row>
    <row r="27" spans="1:43" s="32" customFormat="1" ht="11.25">
      <c r="A27" s="28"/>
      <c r="B27" s="34" t="s">
        <v>204</v>
      </c>
      <c r="C27" s="8"/>
      <c r="D27" s="92">
        <v>-1</v>
      </c>
      <c r="E27" s="30">
        <v>0</v>
      </c>
      <c r="F27" s="30">
        <v>-1</v>
      </c>
      <c r="G27" s="30">
        <v>-5</v>
      </c>
      <c r="H27" s="30">
        <v>-7</v>
      </c>
      <c r="I27" s="57"/>
      <c r="J27" s="30">
        <v>0</v>
      </c>
      <c r="K27" s="30">
        <f>-1</f>
        <v>-1</v>
      </c>
      <c r="L27" s="30">
        <f>-183</f>
        <v>-183</v>
      </c>
      <c r="M27" s="30">
        <f>-373</f>
        <v>-373</v>
      </c>
      <c r="N27" s="30">
        <v>-557</v>
      </c>
      <c r="O27" s="57"/>
      <c r="P27" s="30">
        <v>-57</v>
      </c>
      <c r="Q27" s="30">
        <v>0</v>
      </c>
      <c r="R27" s="30">
        <v>0</v>
      </c>
      <c r="S27" s="30">
        <f>-1209</f>
        <v>-1209</v>
      </c>
      <c r="T27" s="30">
        <v>-1266</v>
      </c>
      <c r="U27" s="57"/>
      <c r="V27" s="30">
        <v>0</v>
      </c>
      <c r="W27" s="30">
        <v>0</v>
      </c>
      <c r="X27" s="30">
        <v>-1</v>
      </c>
      <c r="Y27" s="30">
        <v>-772</v>
      </c>
      <c r="Z27" s="30">
        <f t="shared" si="0"/>
        <v>-773</v>
      </c>
      <c r="AA27" s="57"/>
      <c r="AB27" s="30">
        <v>-10</v>
      </c>
      <c r="AC27" s="30">
        <v>-4</v>
      </c>
      <c r="AD27" s="30">
        <v>0</v>
      </c>
      <c r="AE27" s="30">
        <v>-46</v>
      </c>
      <c r="AF27" s="30">
        <v>-60</v>
      </c>
      <c r="AG27" s="57"/>
      <c r="AH27" s="30">
        <v>0</v>
      </c>
      <c r="AI27" s="242">
        <v>0</v>
      </c>
      <c r="AJ27" s="242">
        <v>0</v>
      </c>
      <c r="AK27" s="242">
        <v>-3</v>
      </c>
      <c r="AL27" s="242">
        <v>-3</v>
      </c>
      <c r="AM27" s="242">
        <v>0</v>
      </c>
      <c r="AN27" s="242">
        <v>-2</v>
      </c>
      <c r="AO27" s="242">
        <v>0</v>
      </c>
      <c r="AP27" s="82">
        <v>0</v>
      </c>
      <c r="AQ27" s="82">
        <v>-2</v>
      </c>
    </row>
    <row r="28" spans="1:43" s="32" customFormat="1" ht="22.5">
      <c r="A28" s="28"/>
      <c r="B28" s="34" t="s">
        <v>41</v>
      </c>
      <c r="C28" s="8"/>
      <c r="D28" s="92">
        <v>-9</v>
      </c>
      <c r="E28" s="30">
        <v>3</v>
      </c>
      <c r="F28" s="30">
        <v>55</v>
      </c>
      <c r="G28" s="30">
        <v>97</v>
      </c>
      <c r="H28" s="30">
        <v>146</v>
      </c>
      <c r="I28" s="57"/>
      <c r="J28" s="30">
        <v>134</v>
      </c>
      <c r="K28" s="30">
        <v>-99</v>
      </c>
      <c r="L28" s="30">
        <v>2</v>
      </c>
      <c r="M28" s="30">
        <v>106</v>
      </c>
      <c r="N28" s="30">
        <v>143</v>
      </c>
      <c r="O28" s="57"/>
      <c r="P28" s="30">
        <v>-298</v>
      </c>
      <c r="Q28" s="30">
        <v>408</v>
      </c>
      <c r="R28" s="30">
        <v>-265</v>
      </c>
      <c r="S28" s="30">
        <v>666</v>
      </c>
      <c r="T28" s="30">
        <v>511</v>
      </c>
      <c r="U28" s="57"/>
      <c r="V28" s="30">
        <f>-815+312</f>
        <v>-503</v>
      </c>
      <c r="W28" s="30">
        <f>-794+336</f>
        <v>-458</v>
      </c>
      <c r="X28" s="30">
        <v>-115</v>
      </c>
      <c r="Y28" s="30">
        <f>-1466+503+458+115</f>
        <v>-390</v>
      </c>
      <c r="Z28" s="30">
        <f t="shared" si="0"/>
        <v>-1466</v>
      </c>
      <c r="AA28" s="57"/>
      <c r="AB28" s="30">
        <v>-183</v>
      </c>
      <c r="AC28" s="30">
        <v>720</v>
      </c>
      <c r="AD28" s="30">
        <v>-159</v>
      </c>
      <c r="AE28" s="30">
        <v>215</v>
      </c>
      <c r="AF28" s="30">
        <v>593</v>
      </c>
      <c r="AG28" s="57"/>
      <c r="AH28" s="30">
        <v>211</v>
      </c>
      <c r="AI28" s="242">
        <v>-217</v>
      </c>
      <c r="AJ28" s="242">
        <v>724</v>
      </c>
      <c r="AK28" s="242">
        <v>-547</v>
      </c>
      <c r="AL28" s="242">
        <v>171</v>
      </c>
      <c r="AM28" s="242">
        <v>951</v>
      </c>
      <c r="AN28" s="242">
        <v>-687</v>
      </c>
      <c r="AO28" s="242">
        <v>-318</v>
      </c>
      <c r="AP28" s="82">
        <v>-337</v>
      </c>
      <c r="AQ28" s="82">
        <v>-391</v>
      </c>
    </row>
    <row r="29" spans="1:43" s="32" customFormat="1" ht="11.25">
      <c r="A29" s="28"/>
      <c r="B29" s="34" t="s">
        <v>27</v>
      </c>
      <c r="C29" s="8"/>
      <c r="D29" s="92">
        <v>-67</v>
      </c>
      <c r="E29" s="30">
        <v>-37</v>
      </c>
      <c r="F29" s="30">
        <v>-4</v>
      </c>
      <c r="G29" s="30">
        <v>-64</v>
      </c>
      <c r="H29" s="30">
        <v>-172</v>
      </c>
      <c r="I29" s="57"/>
      <c r="J29" s="30">
        <v>-233</v>
      </c>
      <c r="K29" s="30">
        <v>60</v>
      </c>
      <c r="L29" s="30">
        <v>52</v>
      </c>
      <c r="M29" s="30">
        <v>-119</v>
      </c>
      <c r="N29" s="30">
        <v>-240</v>
      </c>
      <c r="O29" s="57"/>
      <c r="P29" s="30">
        <v>52</v>
      </c>
      <c r="Q29" s="30">
        <v>-221</v>
      </c>
      <c r="R29" s="30">
        <v>86</v>
      </c>
      <c r="S29" s="30">
        <v>-121</v>
      </c>
      <c r="T29" s="30">
        <v>-204</v>
      </c>
      <c r="U29" s="57"/>
      <c r="V29" s="30">
        <f>156-86</f>
        <v>70</v>
      </c>
      <c r="W29" s="30">
        <f>75-71</f>
        <v>4</v>
      </c>
      <c r="X29" s="30">
        <v>-120</v>
      </c>
      <c r="Y29" s="30">
        <f>-261-70-4+120</f>
        <v>-215</v>
      </c>
      <c r="Z29" s="30">
        <f t="shared" si="0"/>
        <v>-261</v>
      </c>
      <c r="AA29" s="57"/>
      <c r="AB29" s="30">
        <v>-2</v>
      </c>
      <c r="AC29" s="30">
        <v>2</v>
      </c>
      <c r="AD29" s="30">
        <f>-78+25</f>
        <v>-53</v>
      </c>
      <c r="AE29" s="30">
        <v>-36</v>
      </c>
      <c r="AF29" s="30">
        <f>216-305</f>
        <v>-89</v>
      </c>
      <c r="AG29" s="57"/>
      <c r="AH29" s="30">
        <f>50-65</f>
        <v>-15</v>
      </c>
      <c r="AI29" s="242">
        <f>60-58</f>
        <v>2</v>
      </c>
      <c r="AJ29" s="242">
        <f>39-62</f>
        <v>-23</v>
      </c>
      <c r="AK29" s="242">
        <f>50-93</f>
        <v>-43</v>
      </c>
      <c r="AL29" s="242">
        <v>-79</v>
      </c>
      <c r="AM29" s="242">
        <f>159-236</f>
        <v>-77</v>
      </c>
      <c r="AN29" s="242">
        <v>-39</v>
      </c>
      <c r="AO29" s="242">
        <v>-70</v>
      </c>
      <c r="AP29" s="82">
        <v>-33</v>
      </c>
      <c r="AQ29" s="82">
        <v>-219</v>
      </c>
    </row>
    <row r="30" spans="1:43" s="32" customFormat="1" ht="11.25">
      <c r="A30" s="28"/>
      <c r="B30" s="34" t="s">
        <v>40</v>
      </c>
      <c r="C30" s="8"/>
      <c r="D30" s="92">
        <v>30</v>
      </c>
      <c r="E30" s="30">
        <v>29</v>
      </c>
      <c r="F30" s="30">
        <v>23</v>
      </c>
      <c r="G30" s="30">
        <v>7</v>
      </c>
      <c r="H30" s="30">
        <v>89</v>
      </c>
      <c r="I30" s="57"/>
      <c r="J30" s="30">
        <v>7</v>
      </c>
      <c r="K30" s="30">
        <v>54</v>
      </c>
      <c r="L30" s="30">
        <v>-9</v>
      </c>
      <c r="M30" s="30">
        <f>-58</f>
        <v>-58</v>
      </c>
      <c r="N30" s="30">
        <v>-6</v>
      </c>
      <c r="O30" s="57">
        <v>0</v>
      </c>
      <c r="P30" s="30">
        <v>-6</v>
      </c>
      <c r="Q30" s="30">
        <v>16</v>
      </c>
      <c r="R30" s="30">
        <f>15</f>
        <v>15</v>
      </c>
      <c r="S30" s="30">
        <f>-53+185</f>
        <v>132</v>
      </c>
      <c r="T30" s="30">
        <v>157</v>
      </c>
      <c r="U30" s="57"/>
      <c r="V30" s="30">
        <f>59-52</f>
        <v>7</v>
      </c>
      <c r="W30" s="30">
        <f>44-22</f>
        <v>22</v>
      </c>
      <c r="X30" s="30">
        <v>32</v>
      </c>
      <c r="Y30" s="30">
        <v>62</v>
      </c>
      <c r="Z30" s="30">
        <f t="shared" si="0"/>
        <v>123</v>
      </c>
      <c r="AA30" s="57"/>
      <c r="AB30" s="30">
        <v>4</v>
      </c>
      <c r="AC30" s="30">
        <v>-164</v>
      </c>
      <c r="AD30" s="30">
        <f>2+54-3-3-22</f>
        <v>28</v>
      </c>
      <c r="AE30" s="30">
        <v>-4</v>
      </c>
      <c r="AF30" s="30">
        <v>-136</v>
      </c>
      <c r="AG30" s="57"/>
      <c r="AH30" s="30">
        <v>1</v>
      </c>
      <c r="AI30" s="242">
        <f>-167+215</f>
        <v>48</v>
      </c>
      <c r="AJ30" s="242">
        <f>2+7+54-9-35</f>
        <v>19</v>
      </c>
      <c r="AK30" s="242">
        <v>29</v>
      </c>
      <c r="AL30" s="242">
        <v>97</v>
      </c>
      <c r="AM30" s="242">
        <v>-34</v>
      </c>
      <c r="AN30" s="242">
        <v>48</v>
      </c>
      <c r="AO30" s="242">
        <v>-1</v>
      </c>
      <c r="AP30" s="82">
        <v>-25</v>
      </c>
      <c r="AQ30" s="82">
        <v>-12</v>
      </c>
    </row>
    <row r="31" spans="1:43" s="27" customFormat="1" ht="11.25">
      <c r="A31" s="321"/>
      <c r="B31" s="33" t="s">
        <v>38</v>
      </c>
      <c r="C31" s="24"/>
      <c r="D31" s="88">
        <f>SUM(D32:D35)</f>
        <v>-49</v>
      </c>
      <c r="E31" s="25">
        <f>SUM(E32:E35)</f>
        <v>-50</v>
      </c>
      <c r="F31" s="25">
        <f>SUM(F32:F35)</f>
        <v>-128</v>
      </c>
      <c r="G31" s="25">
        <f>SUM(G32:G35)</f>
        <v>-99</v>
      </c>
      <c r="H31" s="25">
        <f>SUM(H32:H35)</f>
        <v>-326</v>
      </c>
      <c r="I31" s="56"/>
      <c r="J31" s="25">
        <f>SUM(J32:J35)</f>
        <v>-136</v>
      </c>
      <c r="K31" s="25">
        <f>SUM(K32:K35)</f>
        <v>-35</v>
      </c>
      <c r="L31" s="25">
        <f>SUM(L32:L35)</f>
        <v>-53</v>
      </c>
      <c r="M31" s="25">
        <f>SUM(M32:M35)</f>
        <v>-82</v>
      </c>
      <c r="N31" s="25">
        <f>SUM(N32:N35)</f>
        <v>-306</v>
      </c>
      <c r="O31" s="56"/>
      <c r="P31" s="25">
        <f>SUM(P32:P35)</f>
        <v>230</v>
      </c>
      <c r="Q31" s="25">
        <v>-389</v>
      </c>
      <c r="R31" s="25">
        <v>192</v>
      </c>
      <c r="S31" s="25">
        <f aca="true" t="shared" si="5" ref="S31:Y31">SUM(S32:S35)</f>
        <v>-615</v>
      </c>
      <c r="T31" s="25">
        <f t="shared" si="5"/>
        <v>-582</v>
      </c>
      <c r="U31" s="56"/>
      <c r="V31" s="25">
        <f t="shared" si="5"/>
        <v>301</v>
      </c>
      <c r="W31" s="25">
        <f t="shared" si="5"/>
        <v>383</v>
      </c>
      <c r="X31" s="25">
        <f t="shared" si="5"/>
        <v>48</v>
      </c>
      <c r="Y31" s="25">
        <f t="shared" si="5"/>
        <v>288</v>
      </c>
      <c r="Z31" s="25">
        <f t="shared" si="0"/>
        <v>1020</v>
      </c>
      <c r="AA31" s="56"/>
      <c r="AB31" s="25">
        <v>112</v>
      </c>
      <c r="AC31" s="25">
        <v>-715</v>
      </c>
      <c r="AD31" s="25">
        <v>83</v>
      </c>
      <c r="AE31" s="25">
        <f>SUM(AE32:AE35)</f>
        <v>-241</v>
      </c>
      <c r="AF31" s="25">
        <f>SUM(AF32:AF35)</f>
        <v>-761</v>
      </c>
      <c r="AG31" s="56"/>
      <c r="AH31" s="25">
        <f>SUM(AH32:AH35)</f>
        <v>-180</v>
      </c>
      <c r="AI31" s="289">
        <f>SUM(AI32:AI35)</f>
        <v>94</v>
      </c>
      <c r="AJ31" s="289">
        <f>SUM(AJ32:AJ35)</f>
        <v>-554</v>
      </c>
      <c r="AK31" s="289">
        <v>112</v>
      </c>
      <c r="AL31" s="289">
        <v>-528</v>
      </c>
      <c r="AM31" s="289">
        <v>-502</v>
      </c>
      <c r="AN31" s="289">
        <v>326</v>
      </c>
      <c r="AO31" s="289">
        <f>SUM(AO32:AO35)</f>
        <v>100</v>
      </c>
      <c r="AP31" s="82">
        <f>AQ31-AO31-AN31-AM31</f>
        <v>48</v>
      </c>
      <c r="AQ31" s="82">
        <v>-28</v>
      </c>
    </row>
    <row r="32" spans="1:43" s="32" customFormat="1" ht="11.25">
      <c r="A32" s="28"/>
      <c r="B32" s="34" t="s">
        <v>28</v>
      </c>
      <c r="C32" s="8"/>
      <c r="D32" s="92">
        <v>0</v>
      </c>
      <c r="E32" s="30">
        <v>0</v>
      </c>
      <c r="F32" s="30">
        <v>0</v>
      </c>
      <c r="G32" s="30">
        <v>0</v>
      </c>
      <c r="H32" s="30">
        <v>0</v>
      </c>
      <c r="I32" s="57"/>
      <c r="J32" s="30">
        <v>0</v>
      </c>
      <c r="K32" s="30">
        <v>-2</v>
      </c>
      <c r="L32" s="30">
        <v>-11</v>
      </c>
      <c r="M32" s="30">
        <v>1</v>
      </c>
      <c r="N32" s="30">
        <v>-12</v>
      </c>
      <c r="O32" s="57"/>
      <c r="P32" s="30">
        <v>-8</v>
      </c>
      <c r="Q32" s="30">
        <v>-2</v>
      </c>
      <c r="R32" s="30">
        <v>-1</v>
      </c>
      <c r="S32" s="30">
        <v>28</v>
      </c>
      <c r="T32" s="30">
        <f>26-9</f>
        <v>17</v>
      </c>
      <c r="U32" s="57"/>
      <c r="V32" s="30">
        <v>-13</v>
      </c>
      <c r="W32" s="30">
        <v>-14</v>
      </c>
      <c r="X32" s="30">
        <v>-3</v>
      </c>
      <c r="Y32" s="30">
        <v>0</v>
      </c>
      <c r="Z32" s="30">
        <f t="shared" si="0"/>
        <v>-30</v>
      </c>
      <c r="AA32" s="57"/>
      <c r="AB32" s="30">
        <v>15</v>
      </c>
      <c r="AC32" s="30">
        <v>11</v>
      </c>
      <c r="AD32" s="30">
        <v>2</v>
      </c>
      <c r="AE32" s="30">
        <v>-17</v>
      </c>
      <c r="AF32" s="30">
        <v>11</v>
      </c>
      <c r="AG32" s="57"/>
      <c r="AH32" s="30">
        <v>-12</v>
      </c>
      <c r="AI32" s="242">
        <f>2-7</f>
        <v>-5</v>
      </c>
      <c r="AJ32" s="242">
        <v>-1</v>
      </c>
      <c r="AK32" s="242">
        <v>-4</v>
      </c>
      <c r="AL32" s="242">
        <v>-22</v>
      </c>
      <c r="AM32" s="242">
        <v>-3</v>
      </c>
      <c r="AN32" s="242">
        <v>-3</v>
      </c>
      <c r="AO32" s="242">
        <v>1</v>
      </c>
      <c r="AP32" s="82">
        <v>-2</v>
      </c>
      <c r="AQ32" s="82">
        <f>AP32+AO32+AN32+AM32</f>
        <v>-7</v>
      </c>
    </row>
    <row r="33" spans="1:43" s="32" customFormat="1" ht="11.25">
      <c r="A33" s="28"/>
      <c r="B33" s="34" t="s">
        <v>29</v>
      </c>
      <c r="C33" s="8"/>
      <c r="D33" s="92">
        <v>-37</v>
      </c>
      <c r="E33" s="30">
        <v>-40</v>
      </c>
      <c r="F33" s="30">
        <v>-40</v>
      </c>
      <c r="G33" s="30">
        <v>-6</v>
      </c>
      <c r="H33" s="30">
        <v>-123</v>
      </c>
      <c r="I33" s="57"/>
      <c r="J33" s="30">
        <v>-49</v>
      </c>
      <c r="K33" s="30">
        <v>-78</v>
      </c>
      <c r="L33" s="30">
        <v>-11</v>
      </c>
      <c r="M33" s="30">
        <v>-18</v>
      </c>
      <c r="N33" s="30">
        <v>-156</v>
      </c>
      <c r="O33" s="57"/>
      <c r="P33" s="30">
        <v>-15</v>
      </c>
      <c r="Q33" s="30">
        <v>-16</v>
      </c>
      <c r="R33" s="30">
        <v>-18</v>
      </c>
      <c r="S33" s="30">
        <v>-36</v>
      </c>
      <c r="T33" s="30">
        <v>-85</v>
      </c>
      <c r="U33" s="57"/>
      <c r="V33" s="30">
        <v>-32</v>
      </c>
      <c r="W33" s="30">
        <v>-21</v>
      </c>
      <c r="X33" s="30">
        <v>-22</v>
      </c>
      <c r="Y33" s="30">
        <f>-96+32+21+22</f>
        <v>-21</v>
      </c>
      <c r="Z33" s="30">
        <f t="shared" si="0"/>
        <v>-96</v>
      </c>
      <c r="AA33" s="57"/>
      <c r="AB33" s="30">
        <v>-25</v>
      </c>
      <c r="AC33" s="30">
        <v>-27</v>
      </c>
      <c r="AD33" s="30">
        <v>-40</v>
      </c>
      <c r="AE33" s="30">
        <v>-1</v>
      </c>
      <c r="AF33" s="30">
        <v>-93</v>
      </c>
      <c r="AG33" s="57"/>
      <c r="AH33" s="30">
        <v>-40</v>
      </c>
      <c r="AI33" s="242">
        <v>-45</v>
      </c>
      <c r="AJ33" s="242">
        <v>3</v>
      </c>
      <c r="AK33" s="242">
        <v>-108</v>
      </c>
      <c r="AL33" s="242">
        <v>-190</v>
      </c>
      <c r="AM33" s="242">
        <v>-45</v>
      </c>
      <c r="AN33" s="242">
        <v>-51</v>
      </c>
      <c r="AO33" s="242">
        <v>-6</v>
      </c>
      <c r="AP33" s="82">
        <v>-29</v>
      </c>
      <c r="AQ33" s="82">
        <f>AP33+AO33+AN33+AM33</f>
        <v>-131</v>
      </c>
    </row>
    <row r="34" spans="1:43" s="32" customFormat="1" ht="23.25" customHeight="1">
      <c r="A34" s="28"/>
      <c r="B34" s="34" t="s">
        <v>37</v>
      </c>
      <c r="C34" s="8"/>
      <c r="D34" s="92">
        <v>5</v>
      </c>
      <c r="E34" s="30">
        <v>3</v>
      </c>
      <c r="F34" s="30">
        <v>-70</v>
      </c>
      <c r="G34" s="30">
        <v>-64</v>
      </c>
      <c r="H34" s="30">
        <v>-126</v>
      </c>
      <c r="I34" s="57"/>
      <c r="J34" s="30">
        <v>-59</v>
      </c>
      <c r="K34" s="30">
        <v>72</v>
      </c>
      <c r="L34" s="30">
        <v>2</v>
      </c>
      <c r="M34" s="30">
        <v>-44</v>
      </c>
      <c r="N34" s="30">
        <v>-29</v>
      </c>
      <c r="O34" s="57"/>
      <c r="P34" s="30">
        <v>276</v>
      </c>
      <c r="Q34" s="30">
        <v>-346</v>
      </c>
      <c r="R34" s="30">
        <f>70+177</f>
        <v>247</v>
      </c>
      <c r="S34" s="30">
        <v>-578</v>
      </c>
      <c r="T34" s="30">
        <v>-401</v>
      </c>
      <c r="U34" s="57"/>
      <c r="V34" s="30">
        <v>372</v>
      </c>
      <c r="W34" s="30">
        <f>443</f>
        <v>443</v>
      </c>
      <c r="X34" s="30">
        <v>100</v>
      </c>
      <c r="Y34" s="30">
        <f>1251-372-443-100</f>
        <v>336</v>
      </c>
      <c r="Z34" s="30">
        <f t="shared" si="0"/>
        <v>1251</v>
      </c>
      <c r="AA34" s="57"/>
      <c r="AB34" s="30">
        <v>149</v>
      </c>
      <c r="AC34" s="30">
        <v>-682</v>
      </c>
      <c r="AD34" s="30">
        <v>146</v>
      </c>
      <c r="AE34" s="30">
        <v>-206</v>
      </c>
      <c r="AF34" s="30">
        <v>-593</v>
      </c>
      <c r="AG34" s="57"/>
      <c r="AH34" s="30">
        <v>-107</v>
      </c>
      <c r="AI34" s="242">
        <v>165</v>
      </c>
      <c r="AJ34" s="242">
        <v>-532</v>
      </c>
      <c r="AK34" s="242">
        <v>266</v>
      </c>
      <c r="AL34" s="242">
        <v>-208</v>
      </c>
      <c r="AM34" s="242">
        <v>-435</v>
      </c>
      <c r="AN34" s="242">
        <v>398</v>
      </c>
      <c r="AO34" s="242">
        <v>117</v>
      </c>
      <c r="AP34" s="82">
        <v>108</v>
      </c>
      <c r="AQ34" s="82">
        <f>AP34+AO34+AN34+AM34</f>
        <v>188</v>
      </c>
    </row>
    <row r="35" spans="1:43" s="32" customFormat="1" ht="15" customHeight="1">
      <c r="A35" s="28"/>
      <c r="B35" s="34" t="s">
        <v>213</v>
      </c>
      <c r="C35" s="8"/>
      <c r="D35" s="92">
        <v>-17</v>
      </c>
      <c r="E35" s="30">
        <v>-13</v>
      </c>
      <c r="F35" s="30">
        <v>-18</v>
      </c>
      <c r="G35" s="30">
        <v>-29</v>
      </c>
      <c r="H35" s="30">
        <v>-77</v>
      </c>
      <c r="I35" s="57"/>
      <c r="J35" s="30">
        <v>-28</v>
      </c>
      <c r="K35" s="30">
        <v>-27</v>
      </c>
      <c r="L35" s="30">
        <v>-33</v>
      </c>
      <c r="M35" s="30">
        <v>-21</v>
      </c>
      <c r="N35" s="30">
        <v>-109</v>
      </c>
      <c r="O35" s="57"/>
      <c r="P35" s="30">
        <f>-31+8</f>
        <v>-23</v>
      </c>
      <c r="Q35" s="30">
        <f>-27+2</f>
        <v>-25</v>
      </c>
      <c r="R35" s="30">
        <v>-36</v>
      </c>
      <c r="S35" s="30">
        <v>-29</v>
      </c>
      <c r="T35" s="30">
        <v>-113</v>
      </c>
      <c r="U35" s="57"/>
      <c r="V35" s="30">
        <v>-26</v>
      </c>
      <c r="W35" s="30">
        <v>-25</v>
      </c>
      <c r="X35" s="30">
        <v>-27</v>
      </c>
      <c r="Y35" s="30">
        <v>-27</v>
      </c>
      <c r="Z35" s="30">
        <f t="shared" si="0"/>
        <v>-105</v>
      </c>
      <c r="AA35" s="57"/>
      <c r="AB35" s="30">
        <v>-27</v>
      </c>
      <c r="AC35" s="30">
        <v>-17</v>
      </c>
      <c r="AD35" s="30">
        <f>-9-16</f>
        <v>-25</v>
      </c>
      <c r="AE35" s="30">
        <v>-17</v>
      </c>
      <c r="AF35" s="30">
        <v>-86</v>
      </c>
      <c r="AG35" s="57"/>
      <c r="AH35" s="30">
        <v>-21</v>
      </c>
      <c r="AI35" s="242">
        <f>94-115</f>
        <v>-21</v>
      </c>
      <c r="AJ35" s="242">
        <f>-10-14</f>
        <v>-24</v>
      </c>
      <c r="AK35" s="242">
        <v>-42</v>
      </c>
      <c r="AL35" s="242">
        <v>-108</v>
      </c>
      <c r="AM35" s="242">
        <v>-19</v>
      </c>
      <c r="AN35" s="242">
        <v>-18</v>
      </c>
      <c r="AO35" s="242">
        <v>-12</v>
      </c>
      <c r="AP35" s="82">
        <v>-29</v>
      </c>
      <c r="AQ35" s="82">
        <f>AP35+AO35+AN35+AM35</f>
        <v>-78</v>
      </c>
    </row>
    <row r="36" spans="1:43" s="32" customFormat="1" ht="11.25">
      <c r="A36" s="28"/>
      <c r="B36" s="322" t="s">
        <v>42</v>
      </c>
      <c r="C36" s="321"/>
      <c r="D36" s="88">
        <f>D18+D21+D26+D31</f>
        <v>625</v>
      </c>
      <c r="E36" s="25">
        <f>E18+E21+E26+E31</f>
        <v>919</v>
      </c>
      <c r="F36" s="25">
        <f>F18+F21+F26+F31</f>
        <v>941</v>
      </c>
      <c r="G36" s="25">
        <f>G18+G21+G26+G31</f>
        <v>613</v>
      </c>
      <c r="H36" s="25">
        <f>H18+H21+H26+H31</f>
        <v>3098</v>
      </c>
      <c r="I36" s="57"/>
      <c r="J36" s="25">
        <f>J18+J21+J26+J31</f>
        <v>577</v>
      </c>
      <c r="K36" s="25">
        <f>K18+K21+K26+K31</f>
        <v>1116</v>
      </c>
      <c r="L36" s="25">
        <f>L18+L21+L26+L31</f>
        <v>147</v>
      </c>
      <c r="M36" s="25">
        <f>M18+M21+M26+M31</f>
        <v>-6962</v>
      </c>
      <c r="N36" s="25">
        <f>N18+N21+N26+N31</f>
        <v>-5122</v>
      </c>
      <c r="O36" s="57"/>
      <c r="P36" s="25">
        <f aca="true" t="shared" si="6" ref="P36:Y36">P18+P21+P26+P31</f>
        <v>343</v>
      </c>
      <c r="Q36" s="25">
        <f t="shared" si="6"/>
        <v>340</v>
      </c>
      <c r="R36" s="25">
        <f t="shared" si="6"/>
        <v>531</v>
      </c>
      <c r="S36" s="25">
        <f t="shared" si="6"/>
        <v>-5015</v>
      </c>
      <c r="T36" s="25">
        <f t="shared" si="6"/>
        <v>-3801</v>
      </c>
      <c r="U36" s="57"/>
      <c r="V36" s="25">
        <f t="shared" si="6"/>
        <v>1031</v>
      </c>
      <c r="W36" s="25">
        <f t="shared" si="6"/>
        <v>618</v>
      </c>
      <c r="X36" s="25">
        <f t="shared" si="6"/>
        <v>787</v>
      </c>
      <c r="Y36" s="25">
        <f t="shared" si="6"/>
        <v>-137</v>
      </c>
      <c r="Z36" s="25">
        <f t="shared" si="0"/>
        <v>2299</v>
      </c>
      <c r="AA36" s="57"/>
      <c r="AB36" s="25">
        <f>AB18+AB21+AB26+AB31</f>
        <v>661</v>
      </c>
      <c r="AC36" s="25">
        <f>AC18+AC21+AC26+AC31</f>
        <v>323</v>
      </c>
      <c r="AD36" s="25">
        <f>AD18+AD21+AD26+AD31</f>
        <v>608</v>
      </c>
      <c r="AE36" s="25">
        <f>AE18+AE21+AE26+AE31</f>
        <v>874</v>
      </c>
      <c r="AF36" s="25">
        <f>AF18+AF21+AF26+AF31</f>
        <v>2466</v>
      </c>
      <c r="AG36" s="57"/>
      <c r="AH36" s="25">
        <f>AH18+AH21+AH26+AH31</f>
        <v>838</v>
      </c>
      <c r="AI36" s="289">
        <f>AI18+AI21+AI26+AI31</f>
        <v>614</v>
      </c>
      <c r="AJ36" s="289">
        <f>AJ18+AJ21+AJ26+AJ31</f>
        <v>972</v>
      </c>
      <c r="AK36" s="289">
        <v>-302</v>
      </c>
      <c r="AL36" s="289">
        <v>2122</v>
      </c>
      <c r="AM36" s="289">
        <v>929</v>
      </c>
      <c r="AN36" s="289">
        <v>178</v>
      </c>
      <c r="AO36" s="289">
        <f>AO18+AO21+AO26+AO31</f>
        <v>772</v>
      </c>
      <c r="AP36" s="82">
        <v>877</v>
      </c>
      <c r="AQ36" s="82">
        <v>2756</v>
      </c>
    </row>
    <row r="37" spans="1:43" s="32" customFormat="1" ht="11.25">
      <c r="A37" s="28"/>
      <c r="B37" s="320" t="s">
        <v>2</v>
      </c>
      <c r="C37" s="29"/>
      <c r="D37" s="92">
        <v>-208</v>
      </c>
      <c r="E37" s="30">
        <v>-235</v>
      </c>
      <c r="F37" s="30">
        <v>-262</v>
      </c>
      <c r="G37" s="30">
        <v>58</v>
      </c>
      <c r="H37" s="30">
        <v>-647</v>
      </c>
      <c r="I37" s="57"/>
      <c r="J37" s="30">
        <v>-179</v>
      </c>
      <c r="K37" s="30">
        <v>-320</v>
      </c>
      <c r="L37" s="30">
        <v>-113</v>
      </c>
      <c r="M37" s="30">
        <f>N37-SUM(J37:L37)</f>
        <v>725</v>
      </c>
      <c r="N37" s="30">
        <v>113</v>
      </c>
      <c r="O37" s="57"/>
      <c r="P37" s="30">
        <v>-180</v>
      </c>
      <c r="Q37" s="30">
        <v>-205</v>
      </c>
      <c r="R37" s="30">
        <v>-200</v>
      </c>
      <c r="S37" s="30">
        <v>-63</v>
      </c>
      <c r="T37" s="30">
        <v>-648</v>
      </c>
      <c r="U37" s="57"/>
      <c r="V37" s="30">
        <v>-321</v>
      </c>
      <c r="W37" s="30">
        <f>-186-88</f>
        <v>-274</v>
      </c>
      <c r="X37" s="30">
        <v>-182</v>
      </c>
      <c r="Y37" s="30">
        <f>-774+321+274+182</f>
        <v>3</v>
      </c>
      <c r="Z37" s="30">
        <f t="shared" si="0"/>
        <v>-774</v>
      </c>
      <c r="AA37" s="57"/>
      <c r="AB37" s="30">
        <v>-222</v>
      </c>
      <c r="AC37" s="30">
        <v>-151</v>
      </c>
      <c r="AD37" s="30">
        <v>-243</v>
      </c>
      <c r="AE37" s="30">
        <v>-192</v>
      </c>
      <c r="AF37" s="30">
        <v>-808</v>
      </c>
      <c r="AG37" s="57"/>
      <c r="AH37" s="30">
        <v>-286</v>
      </c>
      <c r="AI37" s="242">
        <v>-196</v>
      </c>
      <c r="AJ37" s="242">
        <v>-276</v>
      </c>
      <c r="AK37" s="242">
        <v>57</v>
      </c>
      <c r="AL37" s="242">
        <v>-701</v>
      </c>
      <c r="AM37" s="242">
        <v>-239</v>
      </c>
      <c r="AN37" s="242">
        <v>-169</v>
      </c>
      <c r="AO37" s="242">
        <v>-299</v>
      </c>
      <c r="AP37" s="82">
        <v>-252</v>
      </c>
      <c r="AQ37" s="82">
        <v>-959</v>
      </c>
    </row>
    <row r="38" spans="2:43" s="32" customFormat="1" ht="11.25">
      <c r="B38" s="322" t="s">
        <v>43</v>
      </c>
      <c r="C38" s="35"/>
      <c r="D38" s="88">
        <f>D36+D37</f>
        <v>417</v>
      </c>
      <c r="E38" s="25">
        <f>E36+E37</f>
        <v>684</v>
      </c>
      <c r="F38" s="25">
        <f>F36+F37</f>
        <v>679</v>
      </c>
      <c r="G38" s="25">
        <f>G36+G37</f>
        <v>671</v>
      </c>
      <c r="H38" s="25">
        <f>H36+H37</f>
        <v>2451</v>
      </c>
      <c r="I38" s="57"/>
      <c r="J38" s="25">
        <f>J36+J37</f>
        <v>398</v>
      </c>
      <c r="K38" s="25">
        <f>K36+K37</f>
        <v>796</v>
      </c>
      <c r="L38" s="25">
        <f>L36+L37</f>
        <v>34</v>
      </c>
      <c r="M38" s="25">
        <f>M36+M37</f>
        <v>-6237</v>
      </c>
      <c r="N38" s="25">
        <f>N36+N37</f>
        <v>-5009</v>
      </c>
      <c r="O38" s="57"/>
      <c r="P38" s="25">
        <f aca="true" t="shared" si="7" ref="P38:Y38">P36+P37</f>
        <v>163</v>
      </c>
      <c r="Q38" s="25">
        <f t="shared" si="7"/>
        <v>135</v>
      </c>
      <c r="R38" s="25">
        <f t="shared" si="7"/>
        <v>331</v>
      </c>
      <c r="S38" s="25">
        <f t="shared" si="7"/>
        <v>-5078</v>
      </c>
      <c r="T38" s="25">
        <f t="shared" si="7"/>
        <v>-4449</v>
      </c>
      <c r="U38" s="57"/>
      <c r="V38" s="25">
        <f t="shared" si="7"/>
        <v>710</v>
      </c>
      <c r="W38" s="25">
        <f t="shared" si="7"/>
        <v>344</v>
      </c>
      <c r="X38" s="25">
        <f t="shared" si="7"/>
        <v>605</v>
      </c>
      <c r="Y38" s="25">
        <f t="shared" si="7"/>
        <v>-134</v>
      </c>
      <c r="Z38" s="25">
        <f t="shared" si="0"/>
        <v>1525</v>
      </c>
      <c r="AA38" s="57"/>
      <c r="AB38" s="25">
        <v>439</v>
      </c>
      <c r="AC38" s="25">
        <v>172</v>
      </c>
      <c r="AD38" s="25">
        <f>AD36+AD37</f>
        <v>365</v>
      </c>
      <c r="AE38" s="25">
        <f>AE36+AE37</f>
        <v>682</v>
      </c>
      <c r="AF38" s="25">
        <f>AF36+AF37</f>
        <v>1658</v>
      </c>
      <c r="AG38" s="57"/>
      <c r="AH38" s="25">
        <f>AH36+AH37</f>
        <v>552</v>
      </c>
      <c r="AI38" s="289">
        <f>AI36+AI37</f>
        <v>418</v>
      </c>
      <c r="AJ38" s="289">
        <f>AJ36+AJ37</f>
        <v>696</v>
      </c>
      <c r="AK38" s="289">
        <v>-245</v>
      </c>
      <c r="AL38" s="289">
        <v>1421</v>
      </c>
      <c r="AM38" s="289">
        <v>690</v>
      </c>
      <c r="AN38" s="289">
        <v>9</v>
      </c>
      <c r="AO38" s="289">
        <f>AO36+AO37</f>
        <v>473</v>
      </c>
      <c r="AP38" s="82">
        <v>625</v>
      </c>
      <c r="AQ38" s="82">
        <v>1797</v>
      </c>
    </row>
    <row r="39" spans="4:43" s="31" customFormat="1" ht="11.25">
      <c r="D39" s="93"/>
      <c r="E39" s="93"/>
      <c r="F39" s="93"/>
      <c r="G39" s="93"/>
      <c r="H39" s="93"/>
      <c r="I39" s="36"/>
      <c r="J39" s="93"/>
      <c r="K39" s="93"/>
      <c r="L39" s="93"/>
      <c r="M39" s="93"/>
      <c r="N39" s="93"/>
      <c r="O39" s="36"/>
      <c r="P39" s="93"/>
      <c r="Q39" s="93"/>
      <c r="R39" s="93"/>
      <c r="S39" s="93"/>
      <c r="T39" s="93"/>
      <c r="U39" s="36"/>
      <c r="V39" s="93"/>
      <c r="W39" s="93"/>
      <c r="X39" s="93"/>
      <c r="Y39" s="93"/>
      <c r="Z39" s="93"/>
      <c r="AA39" s="36"/>
      <c r="AB39" s="93"/>
      <c r="AC39" s="93"/>
      <c r="AD39" s="93"/>
      <c r="AE39" s="93"/>
      <c r="AF39" s="93"/>
      <c r="AG39" s="36"/>
      <c r="AH39" s="93"/>
      <c r="AI39" s="94"/>
      <c r="AJ39" s="303"/>
      <c r="AK39" s="303"/>
      <c r="AL39" s="312"/>
      <c r="AM39" s="312"/>
      <c r="AN39" s="312"/>
      <c r="AO39" s="312"/>
      <c r="AP39" s="82"/>
      <c r="AQ39" s="82"/>
    </row>
    <row r="40" spans="2:43" s="32" customFormat="1" ht="12" customHeight="1">
      <c r="B40" s="89" t="s">
        <v>63</v>
      </c>
      <c r="C40" s="37"/>
      <c r="D40" s="95">
        <v>401</v>
      </c>
      <c r="E40" s="96">
        <f>793-401</f>
        <v>392</v>
      </c>
      <c r="F40" s="96">
        <f>1196-401-392</f>
        <v>403</v>
      </c>
      <c r="G40" s="96">
        <f aca="true" t="shared" si="8" ref="G40:G45">H40-D40-E40-F40</f>
        <v>439</v>
      </c>
      <c r="H40" s="96">
        <v>1635</v>
      </c>
      <c r="I40" s="116"/>
      <c r="J40" s="96">
        <v>564</v>
      </c>
      <c r="K40" s="96">
        <f>944-564</f>
        <v>380</v>
      </c>
      <c r="L40" s="96">
        <f>1474-380-564</f>
        <v>530</v>
      </c>
      <c r="M40" s="96">
        <f aca="true" t="shared" si="9" ref="M40:M45">N40-SUM(J40:L40)</f>
        <v>469</v>
      </c>
      <c r="N40" s="96">
        <v>1943</v>
      </c>
      <c r="O40" s="116"/>
      <c r="P40" s="25">
        <v>397</v>
      </c>
      <c r="Q40" s="25">
        <f>810-397</f>
        <v>413</v>
      </c>
      <c r="R40" s="25">
        <f>1241-397-413</f>
        <v>431</v>
      </c>
      <c r="S40" s="25">
        <f aca="true" t="shared" si="10" ref="S40:S45">T40-P40-Q40-R40</f>
        <v>702</v>
      </c>
      <c r="T40" s="97">
        <v>1943</v>
      </c>
      <c r="U40" s="114"/>
      <c r="V40" s="97">
        <v>371</v>
      </c>
      <c r="W40" s="97">
        <f>772-371</f>
        <v>401</v>
      </c>
      <c r="X40" s="97">
        <f>772-371</f>
        <v>401</v>
      </c>
      <c r="Y40" s="97">
        <f>1609-401-401-371</f>
        <v>436</v>
      </c>
      <c r="Z40" s="97">
        <v>1609</v>
      </c>
      <c r="AA40" s="114"/>
      <c r="AB40" s="97">
        <v>350</v>
      </c>
      <c r="AC40" s="97">
        <f>864-350</f>
        <v>514</v>
      </c>
      <c r="AD40" s="97">
        <f>1316-350-514</f>
        <v>452</v>
      </c>
      <c r="AE40" s="97">
        <v>480</v>
      </c>
      <c r="AF40" s="97">
        <v>1796</v>
      </c>
      <c r="AG40" s="114"/>
      <c r="AH40" s="97">
        <v>453</v>
      </c>
      <c r="AI40" s="290">
        <f>921-453</f>
        <v>468</v>
      </c>
      <c r="AJ40" s="290">
        <f>1358-453-468</f>
        <v>437</v>
      </c>
      <c r="AK40" s="290">
        <v>562</v>
      </c>
      <c r="AL40" s="290">
        <v>1920</v>
      </c>
      <c r="AM40" s="290">
        <v>483</v>
      </c>
      <c r="AN40" s="290">
        <v>470</v>
      </c>
      <c r="AO40" s="290">
        <v>438</v>
      </c>
      <c r="AP40" s="82">
        <v>572</v>
      </c>
      <c r="AQ40" s="82">
        <v>1963</v>
      </c>
    </row>
    <row r="41" spans="2:43" s="32" customFormat="1" ht="12" customHeight="1" hidden="1">
      <c r="B41" s="89"/>
      <c r="C41" s="37"/>
      <c r="D41" s="95"/>
      <c r="E41" s="96"/>
      <c r="F41" s="96"/>
      <c r="G41" s="96"/>
      <c r="H41" s="96"/>
      <c r="I41" s="116"/>
      <c r="J41" s="96"/>
      <c r="K41" s="96"/>
      <c r="L41" s="96"/>
      <c r="M41" s="96"/>
      <c r="N41" s="96"/>
      <c r="O41" s="116"/>
      <c r="P41" s="25"/>
      <c r="Q41" s="25"/>
      <c r="R41" s="25"/>
      <c r="S41" s="25"/>
      <c r="T41" s="97"/>
      <c r="U41" s="114"/>
      <c r="V41" s="97"/>
      <c r="W41" s="97"/>
      <c r="X41" s="97"/>
      <c r="Y41" s="97"/>
      <c r="Z41" s="97"/>
      <c r="AA41" s="114"/>
      <c r="AB41" s="97"/>
      <c r="AC41" s="97"/>
      <c r="AD41" s="97"/>
      <c r="AE41" s="97"/>
      <c r="AF41" s="97"/>
      <c r="AG41" s="114"/>
      <c r="AH41" s="97"/>
      <c r="AI41" s="290"/>
      <c r="AJ41" s="290"/>
      <c r="AK41" s="290"/>
      <c r="AL41" s="290"/>
      <c r="AM41" s="290"/>
      <c r="AN41" s="290"/>
      <c r="AO41" s="290"/>
      <c r="AP41" s="82"/>
      <c r="AQ41" s="82"/>
    </row>
    <row r="42" spans="2:43" s="27" customFormat="1" ht="35.25" customHeight="1">
      <c r="B42" s="33" t="s">
        <v>36</v>
      </c>
      <c r="C42" s="24"/>
      <c r="D42" s="98">
        <f>982+4+90</f>
        <v>1076</v>
      </c>
      <c r="E42" s="97">
        <f>2366-1076</f>
        <v>1290</v>
      </c>
      <c r="F42" s="97">
        <f>3683-1076-1290</f>
        <v>1317</v>
      </c>
      <c r="G42" s="97">
        <f t="shared" si="8"/>
        <v>1207</v>
      </c>
      <c r="H42" s="97">
        <f>4331+415+144</f>
        <v>4890</v>
      </c>
      <c r="I42" s="114"/>
      <c r="J42" s="97">
        <f>1095+118+68</f>
        <v>1281</v>
      </c>
      <c r="K42" s="97">
        <f>1269+64+146-68</f>
        <v>1411</v>
      </c>
      <c r="L42" s="97">
        <f>3252+286-40+211-1281-1411</f>
        <v>1017</v>
      </c>
      <c r="M42" s="97">
        <f t="shared" si="9"/>
        <v>1001</v>
      </c>
      <c r="N42" s="97">
        <f>4163+369-101+279</f>
        <v>4710</v>
      </c>
      <c r="O42" s="114"/>
      <c r="P42" s="25">
        <f>673+139+84+91</f>
        <v>987</v>
      </c>
      <c r="Q42" s="25">
        <f>1463+272+154+173-987</f>
        <v>1075</v>
      </c>
      <c r="R42" s="25">
        <f>2394+393+124+240-987-1075</f>
        <v>1089</v>
      </c>
      <c r="S42" s="25">
        <f t="shared" si="10"/>
        <v>1515</v>
      </c>
      <c r="T42" s="97">
        <f>3551+614+189+312</f>
        <v>4666</v>
      </c>
      <c r="U42" s="114"/>
      <c r="V42" s="97">
        <f>1304+75+122+80</f>
        <v>1581</v>
      </c>
      <c r="W42" s="97">
        <f>2863-1581</f>
        <v>1282</v>
      </c>
      <c r="X42" s="97">
        <f>4277-1581-1282</f>
        <v>1414</v>
      </c>
      <c r="Y42" s="97">
        <v>1476</v>
      </c>
      <c r="Z42" s="97">
        <f>4160+707+609+277</f>
        <v>5753</v>
      </c>
      <c r="AA42" s="114"/>
      <c r="AB42" s="97">
        <v>1174</v>
      </c>
      <c r="AC42" s="97">
        <f>2565-1174</f>
        <v>1391</v>
      </c>
      <c r="AD42" s="97">
        <f>3790-1391-1174</f>
        <v>1225</v>
      </c>
      <c r="AE42" s="97">
        <v>1182</v>
      </c>
      <c r="AF42" s="97">
        <v>4972</v>
      </c>
      <c r="AG42" s="114"/>
      <c r="AH42" s="97">
        <v>1454</v>
      </c>
      <c r="AI42" s="290">
        <v>1278</v>
      </c>
      <c r="AJ42" s="290">
        <v>1380</v>
      </c>
      <c r="AK42" s="290">
        <v>1117</v>
      </c>
      <c r="AL42" s="290">
        <v>5229</v>
      </c>
      <c r="AM42" s="290">
        <v>1129</v>
      </c>
      <c r="AN42" s="290">
        <v>1522</v>
      </c>
      <c r="AO42" s="290">
        <v>1767</v>
      </c>
      <c r="AP42" s="82">
        <v>2205</v>
      </c>
      <c r="AQ42" s="82">
        <v>6623</v>
      </c>
    </row>
    <row r="43" spans="1:44" s="32" customFormat="1" ht="11.25">
      <c r="A43" s="28"/>
      <c r="B43" s="320" t="s">
        <v>30</v>
      </c>
      <c r="C43" s="29"/>
      <c r="D43" s="92">
        <v>982</v>
      </c>
      <c r="E43" s="30">
        <f>2019-982</f>
        <v>1037</v>
      </c>
      <c r="F43" s="30">
        <f>3131-1037-982</f>
        <v>1112</v>
      </c>
      <c r="G43" s="96">
        <f t="shared" si="8"/>
        <v>1200</v>
      </c>
      <c r="H43" s="30">
        <v>4331</v>
      </c>
      <c r="I43" s="57"/>
      <c r="J43" s="30">
        <v>1095</v>
      </c>
      <c r="K43" s="30">
        <f>2364-1095</f>
        <v>1269</v>
      </c>
      <c r="L43" s="30">
        <f>3252-1095-1269</f>
        <v>888</v>
      </c>
      <c r="M43" s="30">
        <f t="shared" si="9"/>
        <v>911</v>
      </c>
      <c r="N43" s="30">
        <v>4163</v>
      </c>
      <c r="O43" s="57"/>
      <c r="P43" s="30">
        <v>673</v>
      </c>
      <c r="Q43" s="30">
        <f>1463-673</f>
        <v>790</v>
      </c>
      <c r="R43" s="30">
        <f>2394-673-790</f>
        <v>931</v>
      </c>
      <c r="S43" s="30">
        <f t="shared" si="10"/>
        <v>1157</v>
      </c>
      <c r="T43" s="30">
        <v>3551</v>
      </c>
      <c r="U43" s="57"/>
      <c r="V43" s="30">
        <v>1304</v>
      </c>
      <c r="W43" s="30">
        <f>2231-1304</f>
        <v>927</v>
      </c>
      <c r="X43" s="30">
        <f>3199-1304-927</f>
        <v>968</v>
      </c>
      <c r="Y43" s="30">
        <v>961</v>
      </c>
      <c r="Z43" s="30">
        <v>4160</v>
      </c>
      <c r="AA43" s="57"/>
      <c r="AB43" s="30">
        <v>771</v>
      </c>
      <c r="AC43" s="30">
        <f>1700-771</f>
        <v>929</v>
      </c>
      <c r="AD43" s="30">
        <f>2588-771-929</f>
        <v>888</v>
      </c>
      <c r="AE43" s="30">
        <v>828</v>
      </c>
      <c r="AF43" s="30">
        <v>3416</v>
      </c>
      <c r="AG43" s="57"/>
      <c r="AH43" s="30">
        <v>999</v>
      </c>
      <c r="AI43" s="242">
        <v>920</v>
      </c>
      <c r="AJ43" s="242">
        <f>2868-999-920</f>
        <v>949</v>
      </c>
      <c r="AK43" s="242">
        <v>751</v>
      </c>
      <c r="AL43" s="242">
        <v>3619</v>
      </c>
      <c r="AM43" s="30">
        <v>900</v>
      </c>
      <c r="AN43" s="30">
        <v>1031</v>
      </c>
      <c r="AO43" s="30">
        <v>1121</v>
      </c>
      <c r="AP43" s="82">
        <v>1406</v>
      </c>
      <c r="AQ43" s="82">
        <v>4458</v>
      </c>
      <c r="AR43" s="365"/>
    </row>
    <row r="44" spans="1:43" s="32" customFormat="1" ht="11.25">
      <c r="A44" s="28"/>
      <c r="B44" s="320" t="s">
        <v>31</v>
      </c>
      <c r="C44" s="29"/>
      <c r="D44" s="92">
        <v>4</v>
      </c>
      <c r="E44" s="30">
        <f>167-4</f>
        <v>163</v>
      </c>
      <c r="F44" s="30">
        <f>293-163-4</f>
        <v>126</v>
      </c>
      <c r="G44" s="96">
        <f t="shared" si="8"/>
        <v>122</v>
      </c>
      <c r="H44" s="30">
        <v>415</v>
      </c>
      <c r="I44" s="57"/>
      <c r="J44" s="30">
        <v>118</v>
      </c>
      <c r="K44" s="30">
        <f>182-118</f>
        <v>64</v>
      </c>
      <c r="L44" s="30">
        <f>286-118-64</f>
        <v>104</v>
      </c>
      <c r="M44" s="30">
        <f t="shared" si="9"/>
        <v>83</v>
      </c>
      <c r="N44" s="30">
        <v>369</v>
      </c>
      <c r="O44" s="57"/>
      <c r="P44" s="30">
        <v>139</v>
      </c>
      <c r="Q44" s="30">
        <f>272-139</f>
        <v>133</v>
      </c>
      <c r="R44" s="30">
        <f>393-139-133</f>
        <v>121</v>
      </c>
      <c r="S44" s="30">
        <f t="shared" si="10"/>
        <v>221</v>
      </c>
      <c r="T44" s="30">
        <v>614</v>
      </c>
      <c r="U44" s="57"/>
      <c r="V44" s="30">
        <v>75</v>
      </c>
      <c r="W44" s="30">
        <f>264-75</f>
        <v>189</v>
      </c>
      <c r="X44" s="30">
        <f>455-75-189</f>
        <v>191</v>
      </c>
      <c r="Y44" s="30">
        <v>252</v>
      </c>
      <c r="Z44" s="30">
        <v>707</v>
      </c>
      <c r="AA44" s="57"/>
      <c r="AB44" s="30">
        <v>168</v>
      </c>
      <c r="AC44" s="30">
        <f>380-168</f>
        <v>212</v>
      </c>
      <c r="AD44" s="30">
        <f>528-168-212</f>
        <v>148</v>
      </c>
      <c r="AE44" s="30">
        <v>194</v>
      </c>
      <c r="AF44" s="30">
        <v>722</v>
      </c>
      <c r="AG44" s="57"/>
      <c r="AH44" s="30">
        <v>170</v>
      </c>
      <c r="AI44" s="242">
        <v>166</v>
      </c>
      <c r="AJ44" s="242">
        <f>515-170-166</f>
        <v>179</v>
      </c>
      <c r="AK44" s="242">
        <v>194</v>
      </c>
      <c r="AL44" s="242">
        <v>709</v>
      </c>
      <c r="AM44" s="242">
        <v>52</v>
      </c>
      <c r="AN44" s="242">
        <v>110</v>
      </c>
      <c r="AO44" s="242">
        <v>233</v>
      </c>
      <c r="AP44" s="82">
        <v>213</v>
      </c>
      <c r="AQ44" s="82">
        <v>608</v>
      </c>
    </row>
    <row r="45" spans="1:44" s="32" customFormat="1" ht="11.25">
      <c r="A45" s="28"/>
      <c r="B45" s="320" t="s">
        <v>32</v>
      </c>
      <c r="C45" s="29"/>
      <c r="D45" s="92">
        <v>0</v>
      </c>
      <c r="E45" s="30">
        <v>0</v>
      </c>
      <c r="F45" s="30">
        <v>0</v>
      </c>
      <c r="G45" s="30">
        <f t="shared" si="8"/>
        <v>0</v>
      </c>
      <c r="H45" s="30">
        <v>0</v>
      </c>
      <c r="I45" s="57"/>
      <c r="J45" s="30">
        <v>0</v>
      </c>
      <c r="K45" s="30">
        <v>0</v>
      </c>
      <c r="L45" s="30">
        <v>-40</v>
      </c>
      <c r="M45" s="30">
        <f t="shared" si="9"/>
        <v>-61</v>
      </c>
      <c r="N45" s="30">
        <v>-101</v>
      </c>
      <c r="O45" s="57"/>
      <c r="P45" s="30">
        <v>84</v>
      </c>
      <c r="Q45" s="30">
        <f>154-84</f>
        <v>70</v>
      </c>
      <c r="R45" s="30">
        <f>124-84-70</f>
        <v>-30</v>
      </c>
      <c r="S45" s="30">
        <f t="shared" si="10"/>
        <v>65</v>
      </c>
      <c r="T45" s="30">
        <v>189</v>
      </c>
      <c r="U45" s="57"/>
      <c r="V45" s="30">
        <v>122</v>
      </c>
      <c r="W45" s="30">
        <f>195-122</f>
        <v>73</v>
      </c>
      <c r="X45" s="30">
        <f>378-122-73</f>
        <v>183</v>
      </c>
      <c r="Y45" s="30">
        <v>231</v>
      </c>
      <c r="Z45" s="30">
        <v>609</v>
      </c>
      <c r="AA45" s="57"/>
      <c r="AB45" s="30">
        <v>163</v>
      </c>
      <c r="AC45" s="30">
        <f>333-163</f>
        <v>170</v>
      </c>
      <c r="AD45" s="30">
        <f>484-163-170</f>
        <v>151</v>
      </c>
      <c r="AE45" s="30">
        <v>149</v>
      </c>
      <c r="AF45" s="30">
        <v>633</v>
      </c>
      <c r="AG45" s="57"/>
      <c r="AH45" s="30">
        <v>218</v>
      </c>
      <c r="AI45" s="242">
        <v>131</v>
      </c>
      <c r="AJ45" s="242">
        <f>522-218-131</f>
        <v>173</v>
      </c>
      <c r="AK45" s="242">
        <v>138</v>
      </c>
      <c r="AL45" s="242">
        <v>660</v>
      </c>
      <c r="AM45" s="242">
        <v>104</v>
      </c>
      <c r="AN45" s="242">
        <v>324</v>
      </c>
      <c r="AO45" s="242">
        <v>351</v>
      </c>
      <c r="AP45" s="82">
        <v>567</v>
      </c>
      <c r="AQ45" s="82">
        <v>1346</v>
      </c>
      <c r="AR45" s="367"/>
    </row>
    <row r="46" spans="2:45" s="27" customFormat="1" ht="22.5">
      <c r="B46" s="33" t="s">
        <v>54</v>
      </c>
      <c r="C46" s="24"/>
      <c r="D46" s="99">
        <f aca="true" t="shared" si="11" ref="D46:H48">D42/D11</f>
        <v>0.23139784946236558</v>
      </c>
      <c r="E46" s="38">
        <f t="shared" si="11"/>
        <v>0.2644526445264453</v>
      </c>
      <c r="F46" s="38">
        <f t="shared" si="11"/>
        <v>0.2538550501156515</v>
      </c>
      <c r="G46" s="38">
        <f t="shared" si="11"/>
        <v>0.20896814404432132</v>
      </c>
      <c r="H46" s="38">
        <f t="shared" si="11"/>
        <v>0.23862970915479212</v>
      </c>
      <c r="I46" s="115"/>
      <c r="J46" s="38">
        <f aca="true" t="shared" si="12" ref="J46:N48">J42/J11</f>
        <v>0.2707672796448954</v>
      </c>
      <c r="K46" s="38">
        <f t="shared" si="12"/>
        <v>0.2647776318258585</v>
      </c>
      <c r="L46" s="38">
        <v>0.20082938388625593</v>
      </c>
      <c r="M46" s="38">
        <v>0.1822651128914785</v>
      </c>
      <c r="N46" s="38">
        <v>0.22846332945285217</v>
      </c>
      <c r="O46" s="115"/>
      <c r="P46" s="38">
        <v>0.23344370860927152</v>
      </c>
      <c r="Q46" s="38">
        <v>0.2188963551211566</v>
      </c>
      <c r="R46" s="38">
        <v>0.21902654867256638</v>
      </c>
      <c r="S46" s="38">
        <v>0.23528498214008386</v>
      </c>
      <c r="T46" s="38">
        <v>0.22705596107055961</v>
      </c>
      <c r="U46" s="115"/>
      <c r="V46" s="38">
        <f>V42/(V11+459)</f>
        <v>0.29441340782122905</v>
      </c>
      <c r="W46" s="38">
        <f>W42/(W11+868-459)</f>
        <v>0.24601803876415276</v>
      </c>
      <c r="X46" s="38">
        <f>X42/(X11+1436-459-409)</f>
        <v>0.2646948708348933</v>
      </c>
      <c r="Y46" s="38">
        <f>Y42/(Y11+1993-459-409-568)</f>
        <v>0.22962041070317363</v>
      </c>
      <c r="Z46" s="38">
        <f>Z42/(Z11+1993)</f>
        <v>0.25739340521676884</v>
      </c>
      <c r="AA46" s="115"/>
      <c r="AB46" s="38">
        <f>AB42/(AB11+481)</f>
        <v>0.24731409311143882</v>
      </c>
      <c r="AC46" s="38">
        <f>AC42/(AC11+(908-481))</f>
        <v>0.24910458452722062</v>
      </c>
      <c r="AD46" s="38">
        <f>AD42/(AD11+(1407-908))</f>
        <v>0.2089374040593553</v>
      </c>
      <c r="AE46" s="38">
        <f>AE42/(AE11+(1407-908))</f>
        <v>0.18948380891311317</v>
      </c>
      <c r="AF46" s="38">
        <v>0.22</v>
      </c>
      <c r="AG46" s="115"/>
      <c r="AH46" s="38">
        <f>AH42/(AH11+536)</f>
        <v>0.24136786188579018</v>
      </c>
      <c r="AI46" s="291">
        <f>AI42/(AI11+471)</f>
        <v>0.2057639671550475</v>
      </c>
      <c r="AJ46" s="291">
        <f>AJ42/(AJ11+1522-471-536)</f>
        <v>0.22417153996101363</v>
      </c>
      <c r="AK46" s="291">
        <v>0.18</v>
      </c>
      <c r="AL46" s="291">
        <v>0.21</v>
      </c>
      <c r="AM46" s="291">
        <v>0.2</v>
      </c>
      <c r="AN46" s="291">
        <v>0.22</v>
      </c>
      <c r="AO46" s="291">
        <v>0.28240370784721114</v>
      </c>
      <c r="AP46" s="366">
        <v>0.28</v>
      </c>
      <c r="AQ46" s="366">
        <v>0.25</v>
      </c>
      <c r="AR46" s="369"/>
      <c r="AS46" s="370"/>
    </row>
    <row r="47" spans="1:48" s="32" customFormat="1" ht="11.25">
      <c r="A47" s="28"/>
      <c r="B47" s="320" t="s">
        <v>30</v>
      </c>
      <c r="C47" s="29"/>
      <c r="D47" s="100">
        <f t="shared" si="11"/>
        <v>0.25842105263157894</v>
      </c>
      <c r="E47" s="39">
        <f t="shared" si="11"/>
        <v>0.26406926406926406</v>
      </c>
      <c r="F47" s="39">
        <f t="shared" si="11"/>
        <v>0.27016520894071916</v>
      </c>
      <c r="G47" s="39">
        <f t="shared" si="11"/>
        <v>0.25052192066805845</v>
      </c>
      <c r="H47" s="39">
        <f t="shared" si="11"/>
        <v>0.2603859796789515</v>
      </c>
      <c r="I47" s="59"/>
      <c r="J47" s="39">
        <f t="shared" si="12"/>
        <v>0.2906822405096894</v>
      </c>
      <c r="K47" s="39">
        <f t="shared" si="12"/>
        <v>0.2934104046242775</v>
      </c>
      <c r="L47" s="39">
        <f t="shared" si="12"/>
        <v>0.24123879380603097</v>
      </c>
      <c r="M47" s="39">
        <f t="shared" si="12"/>
        <v>0.2186749879980797</v>
      </c>
      <c r="N47" s="39">
        <f t="shared" si="12"/>
        <v>0.2611832611832612</v>
      </c>
      <c r="O47" s="59"/>
      <c r="P47" s="39">
        <f aca="true" t="shared" si="13" ref="P47:AE48">P43/P12</f>
        <v>0.22591473648875462</v>
      </c>
      <c r="Q47" s="39">
        <f t="shared" si="13"/>
        <v>0.2218477955630441</v>
      </c>
      <c r="R47" s="39">
        <f t="shared" si="13"/>
        <v>0.24866452991452992</v>
      </c>
      <c r="S47" s="39">
        <f t="shared" si="13"/>
        <v>0.23964374482187242</v>
      </c>
      <c r="T47" s="39">
        <f t="shared" si="13"/>
        <v>0.23497882477501322</v>
      </c>
      <c r="U47" s="59"/>
      <c r="V47" s="39">
        <f t="shared" si="13"/>
        <v>0.3347022587268994</v>
      </c>
      <c r="W47" s="39">
        <f t="shared" si="13"/>
        <v>0.24362680683311433</v>
      </c>
      <c r="X47" s="39">
        <f t="shared" si="13"/>
        <v>0.25937834941050375</v>
      </c>
      <c r="Y47" s="39">
        <f t="shared" si="13"/>
        <v>0.20932258767153125</v>
      </c>
      <c r="Z47" s="39">
        <f t="shared" si="13"/>
        <v>0.25961058412381427</v>
      </c>
      <c r="AA47" s="59"/>
      <c r="AB47" s="39">
        <f>AB43/AB12</f>
        <v>0.2404865876481597</v>
      </c>
      <c r="AC47" s="39">
        <f t="shared" si="13"/>
        <v>0.23324127542053727</v>
      </c>
      <c r="AD47" s="39">
        <f>AD43/AD12</f>
        <v>0.21511627906976744</v>
      </c>
      <c r="AE47" s="39">
        <f>AE43/AE12</f>
        <v>0.1864864864864865</v>
      </c>
      <c r="AF47" s="39">
        <v>0.22</v>
      </c>
      <c r="AG47" s="59"/>
      <c r="AH47" s="39">
        <f aca="true" t="shared" si="14" ref="AH47:AJ48">AH43/AH12</f>
        <v>0.2314643188137164</v>
      </c>
      <c r="AI47" s="292">
        <f t="shared" si="14"/>
        <v>0.20376522702104097</v>
      </c>
      <c r="AJ47" s="292">
        <f t="shared" si="14"/>
        <v>0.22493481867741172</v>
      </c>
      <c r="AK47" s="292">
        <v>0.16</v>
      </c>
      <c r="AL47" s="292">
        <v>0.2</v>
      </c>
      <c r="AM47" s="292">
        <v>0.21</v>
      </c>
      <c r="AN47" s="292">
        <v>0.22</v>
      </c>
      <c r="AO47" s="292">
        <v>0.2511763387855702</v>
      </c>
      <c r="AP47" s="366">
        <v>0.24</v>
      </c>
      <c r="AQ47" s="366">
        <v>0.23</v>
      </c>
      <c r="AR47" s="365"/>
      <c r="AS47" s="365"/>
      <c r="AT47" s="365"/>
      <c r="AU47" s="365"/>
      <c r="AV47" s="365"/>
    </row>
    <row r="48" spans="1:48" s="32" customFormat="1" ht="11.25">
      <c r="A48" s="28"/>
      <c r="B48" s="320" t="s">
        <v>31</v>
      </c>
      <c r="C48" s="29"/>
      <c r="D48" s="100">
        <f t="shared" si="11"/>
        <v>0.008849557522123894</v>
      </c>
      <c r="E48" s="39">
        <f t="shared" si="11"/>
        <v>0.29963235294117646</v>
      </c>
      <c r="F48" s="39">
        <f t="shared" si="11"/>
        <v>0.1917808219178082</v>
      </c>
      <c r="G48" s="39">
        <f t="shared" si="11"/>
        <v>0.21180555555555555</v>
      </c>
      <c r="H48" s="39">
        <f t="shared" si="11"/>
        <v>0.18618214445939885</v>
      </c>
      <c r="I48" s="59"/>
      <c r="J48" s="39">
        <f t="shared" si="12"/>
        <v>0.19063004846526657</v>
      </c>
      <c r="K48" s="39">
        <f t="shared" si="12"/>
        <v>0.10578512396694215</v>
      </c>
      <c r="L48" s="39">
        <f t="shared" si="12"/>
        <v>0.14092140921409213</v>
      </c>
      <c r="M48" s="39">
        <f t="shared" si="12"/>
        <v>0.13495934959349593</v>
      </c>
      <c r="N48" s="39">
        <f t="shared" si="12"/>
        <v>0.14318975552968569</v>
      </c>
      <c r="O48" s="59"/>
      <c r="P48" s="39">
        <f t="shared" si="13"/>
        <v>0.23639455782312926</v>
      </c>
      <c r="Q48" s="39">
        <f t="shared" si="13"/>
        <v>0.2180327868852459</v>
      </c>
      <c r="R48" s="39">
        <f t="shared" si="13"/>
        <v>0.2137809187279152</v>
      </c>
      <c r="S48" s="39">
        <f t="shared" si="13"/>
        <v>0.28664072632944226</v>
      </c>
      <c r="T48" s="39">
        <f t="shared" si="13"/>
        <v>0.24220907297830374</v>
      </c>
      <c r="U48" s="59"/>
      <c r="V48" s="39">
        <f t="shared" si="13"/>
        <v>0.12931034482758622</v>
      </c>
      <c r="W48" s="39">
        <f t="shared" si="13"/>
        <v>0.3144758735440932</v>
      </c>
      <c r="X48" s="39">
        <f t="shared" si="13"/>
        <v>0.31209150326797386</v>
      </c>
      <c r="Y48" s="39">
        <f t="shared" si="13"/>
        <v>0.311495673671199</v>
      </c>
      <c r="Z48" s="39">
        <f t="shared" si="13"/>
        <v>0.2717140661029977</v>
      </c>
      <c r="AA48" s="59"/>
      <c r="AB48" s="39">
        <f t="shared" si="13"/>
        <v>0.27586206896551724</v>
      </c>
      <c r="AC48" s="39">
        <f t="shared" si="13"/>
        <v>0.3076923076923077</v>
      </c>
      <c r="AD48" s="39">
        <f>AD44/AD13</f>
        <v>0.19759679572763686</v>
      </c>
      <c r="AE48" s="39">
        <f t="shared" si="13"/>
        <v>0.23980222496909764</v>
      </c>
      <c r="AF48" s="39">
        <v>0.25</v>
      </c>
      <c r="AG48" s="59"/>
      <c r="AH48" s="39">
        <f t="shared" si="14"/>
        <v>0.2514792899408284</v>
      </c>
      <c r="AI48" s="292">
        <f t="shared" si="14"/>
        <v>0.22493224932249323</v>
      </c>
      <c r="AJ48" s="292">
        <f t="shared" si="14"/>
        <v>0.1995540691192865</v>
      </c>
      <c r="AK48" s="292">
        <v>0.25</v>
      </c>
      <c r="AL48" s="292">
        <v>0.23</v>
      </c>
      <c r="AM48" s="292">
        <v>0.08</v>
      </c>
      <c r="AN48" s="292">
        <v>0.13</v>
      </c>
      <c r="AO48" s="292">
        <v>0.30779392338177014</v>
      </c>
      <c r="AP48" s="366">
        <v>0.31</v>
      </c>
      <c r="AQ48" s="366">
        <v>0.22</v>
      </c>
      <c r="AR48" s="367"/>
      <c r="AS48" s="367"/>
      <c r="AT48" s="367"/>
      <c r="AU48" s="368"/>
      <c r="AV48" s="367"/>
    </row>
    <row r="49" spans="1:44" s="32" customFormat="1" ht="16.5" customHeight="1">
      <c r="A49" s="28"/>
      <c r="B49" s="358" t="s">
        <v>32</v>
      </c>
      <c r="C49" s="29"/>
      <c r="D49" s="92">
        <v>0</v>
      </c>
      <c r="E49" s="30">
        <v>0</v>
      </c>
      <c r="F49" s="30">
        <v>0</v>
      </c>
      <c r="G49" s="30">
        <f>H49-D49-E49-F49</f>
        <v>0</v>
      </c>
      <c r="H49" s="30">
        <v>0</v>
      </c>
      <c r="I49" s="57"/>
      <c r="J49" s="30">
        <v>0</v>
      </c>
      <c r="K49" s="30">
        <v>0</v>
      </c>
      <c r="L49" s="39">
        <v>-0.15151515151515152</v>
      </c>
      <c r="M49" s="39">
        <v>-0.17732558139534885</v>
      </c>
      <c r="N49" s="39">
        <v>-0.16611842105263158</v>
      </c>
      <c r="O49" s="57"/>
      <c r="P49" s="39">
        <v>0.26582278481012656</v>
      </c>
      <c r="Q49" s="39">
        <v>0.1907356948228883</v>
      </c>
      <c r="R49" s="39">
        <v>-0.10452961672473868</v>
      </c>
      <c r="S49" s="39">
        <v>0.15330188679245282</v>
      </c>
      <c r="T49" s="39">
        <v>0.13558106169296988</v>
      </c>
      <c r="U49" s="57"/>
      <c r="V49" s="39">
        <f>V45/459</f>
        <v>0.2657952069716776</v>
      </c>
      <c r="W49" s="39">
        <f>W45/(868-459)</f>
        <v>0.1784841075794621</v>
      </c>
      <c r="X49" s="39">
        <f>X45/(1436-459-409)</f>
        <v>0.3221830985915493</v>
      </c>
      <c r="Y49" s="39">
        <f>Y45/(1993-568-459-409)</f>
        <v>0.414721723518851</v>
      </c>
      <c r="Z49" s="39">
        <f>Z45/(1993)</f>
        <v>0.305569493226292</v>
      </c>
      <c r="AA49" s="57"/>
      <c r="AB49" s="39">
        <f>AB45/481</f>
        <v>0.3388773388773389</v>
      </c>
      <c r="AC49" s="39">
        <f>AC45/(908-481)</f>
        <v>0.3981264637002342</v>
      </c>
      <c r="AD49" s="39">
        <f>AD45/(1407-908)</f>
        <v>0.3026052104208417</v>
      </c>
      <c r="AE49" s="39">
        <f>AE45/(1948-1407)</f>
        <v>0.2754158964879852</v>
      </c>
      <c r="AF49" s="39">
        <v>0.32</v>
      </c>
      <c r="AG49" s="57"/>
      <c r="AH49" s="39">
        <f>AH45/536</f>
        <v>0.40671641791044777</v>
      </c>
      <c r="AI49" s="292">
        <f>AI45/471</f>
        <v>0.2781316348195329</v>
      </c>
      <c r="AJ49" s="292">
        <f>AJ45/(1522-471-536)</f>
        <v>0.3359223300970874</v>
      </c>
      <c r="AK49" s="292">
        <v>0.29</v>
      </c>
      <c r="AL49" s="292">
        <v>0.33</v>
      </c>
      <c r="AM49" s="292">
        <v>0.29</v>
      </c>
      <c r="AN49" s="292">
        <v>0.41</v>
      </c>
      <c r="AO49" s="292">
        <v>0.5616</v>
      </c>
      <c r="AP49" s="366">
        <v>0.61</v>
      </c>
      <c r="AQ49" s="366">
        <v>0.52</v>
      </c>
      <c r="AR49" s="367"/>
    </row>
    <row r="50" spans="1:41" s="31" customFormat="1" ht="35.25" customHeight="1">
      <c r="A50" s="28"/>
      <c r="B50" s="29" t="s">
        <v>53</v>
      </c>
      <c r="C50" s="29"/>
      <c r="D50" s="40"/>
      <c r="E50" s="40"/>
      <c r="F50" s="40"/>
      <c r="G50" s="40"/>
      <c r="H50" s="40"/>
      <c r="J50" s="40"/>
      <c r="K50" s="40"/>
      <c r="L50" s="41"/>
      <c r="M50" s="41"/>
      <c r="N50" s="41"/>
      <c r="P50" s="41"/>
      <c r="Q50" s="41"/>
      <c r="R50" s="41"/>
      <c r="S50" s="41"/>
      <c r="T50" s="40"/>
      <c r="V50" s="40"/>
      <c r="W50" s="40"/>
      <c r="X50" s="40"/>
      <c r="Y50" s="40"/>
      <c r="Z50" s="40"/>
      <c r="AB50" s="40"/>
      <c r="AC50" s="40"/>
      <c r="AD50" s="40"/>
      <c r="AE50" s="40"/>
      <c r="AF50" s="40"/>
      <c r="AH50" s="40"/>
      <c r="AI50" s="177"/>
      <c r="AJ50" s="304"/>
      <c r="AK50" s="304"/>
      <c r="AL50" s="312"/>
      <c r="AN50" s="312"/>
      <c r="AO50" s="312"/>
    </row>
    <row r="51" spans="1:41" s="31" customFormat="1" ht="13.5" customHeight="1">
      <c r="A51" s="28"/>
      <c r="D51" s="90"/>
      <c r="E51" s="90"/>
      <c r="F51" s="90"/>
      <c r="G51" s="90"/>
      <c r="H51" s="90"/>
      <c r="J51" s="90"/>
      <c r="K51" s="90"/>
      <c r="L51" s="90"/>
      <c r="M51" s="90"/>
      <c r="N51" s="90"/>
      <c r="P51" s="90"/>
      <c r="Q51" s="91"/>
      <c r="R51" s="90"/>
      <c r="S51" s="90"/>
      <c r="T51" s="90"/>
      <c r="V51" s="90"/>
      <c r="W51" s="90"/>
      <c r="X51" s="90"/>
      <c r="Y51" s="90"/>
      <c r="Z51" s="90"/>
      <c r="AB51" s="90"/>
      <c r="AC51" s="90"/>
      <c r="AD51" s="90"/>
      <c r="AE51" s="90"/>
      <c r="AF51" s="90"/>
      <c r="AH51" s="90"/>
      <c r="AI51" s="178"/>
      <c r="AJ51" s="296"/>
      <c r="AK51" s="296"/>
      <c r="AL51" s="312"/>
      <c r="AN51" s="312"/>
      <c r="AO51" s="312"/>
    </row>
    <row r="52" spans="2:43" s="26" customFormat="1" ht="12" customHeight="1">
      <c r="B52" s="89" t="s">
        <v>33</v>
      </c>
      <c r="C52" s="37"/>
      <c r="D52" s="101">
        <v>1.9</v>
      </c>
      <c r="E52" s="102">
        <v>1.85</v>
      </c>
      <c r="F52" s="102">
        <v>1.96</v>
      </c>
      <c r="G52" s="102">
        <v>1.87</v>
      </c>
      <c r="H52" s="102">
        <v>1.89</v>
      </c>
      <c r="I52" s="60"/>
      <c r="J52" s="102">
        <v>1.6</v>
      </c>
      <c r="K52" s="102">
        <v>1.57</v>
      </c>
      <c r="L52" s="102">
        <v>1.64</v>
      </c>
      <c r="M52" s="102">
        <v>1.49</v>
      </c>
      <c r="N52" s="102">
        <v>1.59</v>
      </c>
      <c r="O52" s="60"/>
      <c r="P52" s="42">
        <v>1.39</v>
      </c>
      <c r="Q52" s="42">
        <v>1.4</v>
      </c>
      <c r="R52" s="42">
        <v>1.36</v>
      </c>
      <c r="S52" s="42">
        <v>1.49</v>
      </c>
      <c r="T52" s="102">
        <v>1.41</v>
      </c>
      <c r="U52" s="60"/>
      <c r="V52" s="102">
        <v>1.53</v>
      </c>
      <c r="W52" s="102">
        <v>1.41</v>
      </c>
      <c r="X52" s="102">
        <v>1.65</v>
      </c>
      <c r="Y52" s="102">
        <v>1.79</v>
      </c>
      <c r="Z52" s="102">
        <v>1.59</v>
      </c>
      <c r="AA52" s="60"/>
      <c r="AB52" s="102" t="s">
        <v>194</v>
      </c>
      <c r="AC52" s="102">
        <v>1.85</v>
      </c>
      <c r="AD52" s="102">
        <v>1.78</v>
      </c>
      <c r="AE52" s="102">
        <v>1.81</v>
      </c>
      <c r="AF52" s="102">
        <v>1.81</v>
      </c>
      <c r="AG52" s="60"/>
      <c r="AH52" s="102">
        <v>1.74</v>
      </c>
      <c r="AI52" s="102">
        <v>1.79</v>
      </c>
      <c r="AJ52" s="295">
        <v>1.52</v>
      </c>
      <c r="AK52" s="295">
        <v>1.75</v>
      </c>
      <c r="AL52" s="295">
        <v>1.7</v>
      </c>
      <c r="AM52" s="295">
        <v>1.61</v>
      </c>
      <c r="AN52" s="295">
        <v>1.58</v>
      </c>
      <c r="AO52" s="295">
        <v>1.56</v>
      </c>
      <c r="AP52" s="347">
        <v>1.61</v>
      </c>
      <c r="AQ52" s="347">
        <v>1.59</v>
      </c>
    </row>
    <row r="53" spans="1:44" s="32" customFormat="1" ht="11.25">
      <c r="A53" s="28"/>
      <c r="B53" s="320" t="s">
        <v>30</v>
      </c>
      <c r="C53" s="29"/>
      <c r="D53" s="103">
        <v>1.77</v>
      </c>
      <c r="E53" s="104">
        <v>1.82</v>
      </c>
      <c r="F53" s="104">
        <v>1.88</v>
      </c>
      <c r="G53" s="104">
        <v>1.82</v>
      </c>
      <c r="H53" s="104">
        <v>1.82</v>
      </c>
      <c r="I53" s="57"/>
      <c r="J53" s="104">
        <v>1.46</v>
      </c>
      <c r="K53" s="104">
        <v>1.52</v>
      </c>
      <c r="L53" s="104">
        <v>1.49</v>
      </c>
      <c r="M53" s="104">
        <v>1.4</v>
      </c>
      <c r="N53" s="104">
        <v>1.47</v>
      </c>
      <c r="O53" s="57"/>
      <c r="P53" s="43">
        <v>1.33</v>
      </c>
      <c r="Q53" s="43">
        <v>1.32</v>
      </c>
      <c r="R53" s="43">
        <v>1.18</v>
      </c>
      <c r="S53" s="43">
        <v>1.34</v>
      </c>
      <c r="T53" s="104">
        <v>1.3</v>
      </c>
      <c r="U53" s="57"/>
      <c r="V53" s="104">
        <v>1.33</v>
      </c>
      <c r="W53" s="104">
        <v>1.34</v>
      </c>
      <c r="X53" s="104">
        <v>1.62</v>
      </c>
      <c r="Y53" s="104">
        <v>1.84</v>
      </c>
      <c r="Z53" s="104">
        <v>1.52</v>
      </c>
      <c r="AA53" s="57"/>
      <c r="AB53" s="104" t="s">
        <v>193</v>
      </c>
      <c r="AC53" s="104">
        <v>1.96</v>
      </c>
      <c r="AD53" s="104">
        <v>1.82</v>
      </c>
      <c r="AE53" s="104">
        <v>1.82</v>
      </c>
      <c r="AF53" s="104">
        <v>1.85</v>
      </c>
      <c r="AG53" s="57"/>
      <c r="AH53" s="104">
        <v>1.76</v>
      </c>
      <c r="AI53" s="104">
        <v>1.85</v>
      </c>
      <c r="AJ53" s="305">
        <v>1.53</v>
      </c>
      <c r="AK53" s="305">
        <v>1.83</v>
      </c>
      <c r="AL53" s="305">
        <v>1.74</v>
      </c>
      <c r="AM53" s="305">
        <v>1.58</v>
      </c>
      <c r="AN53" s="305">
        <v>1.59</v>
      </c>
      <c r="AO53" s="305">
        <v>1.61</v>
      </c>
      <c r="AP53" s="347">
        <v>1.68</v>
      </c>
      <c r="AQ53" s="347">
        <v>1.62</v>
      </c>
      <c r="AR53" s="365"/>
    </row>
    <row r="54" spans="1:43" s="32" customFormat="1" ht="11.25">
      <c r="A54" s="28"/>
      <c r="B54" s="320" t="s">
        <v>31</v>
      </c>
      <c r="C54" s="29"/>
      <c r="D54" s="103">
        <v>2.74</v>
      </c>
      <c r="E54" s="104">
        <v>2.03</v>
      </c>
      <c r="F54" s="104">
        <v>2.25</v>
      </c>
      <c r="G54" s="104">
        <v>2.11</v>
      </c>
      <c r="H54" s="104">
        <v>2.26</v>
      </c>
      <c r="I54" s="57"/>
      <c r="J54" s="104">
        <v>2.21</v>
      </c>
      <c r="K54" s="104">
        <v>1.83</v>
      </c>
      <c r="L54" s="104">
        <v>1.74</v>
      </c>
      <c r="M54" s="104">
        <v>1.72</v>
      </c>
      <c r="N54" s="104">
        <v>1.87</v>
      </c>
      <c r="O54" s="57"/>
      <c r="P54" s="43">
        <v>1.48</v>
      </c>
      <c r="Q54" s="43">
        <v>1.59</v>
      </c>
      <c r="R54" s="43">
        <v>1.73</v>
      </c>
      <c r="S54" s="43">
        <v>1.72</v>
      </c>
      <c r="T54" s="104">
        <v>1.63</v>
      </c>
      <c r="U54" s="57"/>
      <c r="V54" s="104">
        <v>2.35</v>
      </c>
      <c r="W54" s="104">
        <v>1.72</v>
      </c>
      <c r="X54" s="104">
        <v>1.9</v>
      </c>
      <c r="Y54" s="104">
        <v>1.81</v>
      </c>
      <c r="Z54" s="104">
        <v>1.92</v>
      </c>
      <c r="AA54" s="57"/>
      <c r="AB54" s="104">
        <v>1.89</v>
      </c>
      <c r="AC54" s="104">
        <v>1.84</v>
      </c>
      <c r="AD54" s="104">
        <v>1.89</v>
      </c>
      <c r="AE54" s="104">
        <v>2.04</v>
      </c>
      <c r="AF54" s="104">
        <v>1.92</v>
      </c>
      <c r="AG54" s="57"/>
      <c r="AH54" s="104">
        <v>1.95</v>
      </c>
      <c r="AI54" s="104">
        <v>1.69</v>
      </c>
      <c r="AJ54" s="305">
        <v>1.74</v>
      </c>
      <c r="AK54" s="305">
        <v>1.6</v>
      </c>
      <c r="AL54" s="305">
        <v>1.72</v>
      </c>
      <c r="AM54" s="305">
        <v>2.19</v>
      </c>
      <c r="AN54" s="305">
        <v>1.83</v>
      </c>
      <c r="AO54" s="305">
        <v>1.62</v>
      </c>
      <c r="AP54" s="347">
        <v>2</v>
      </c>
      <c r="AQ54" s="347">
        <v>1.91</v>
      </c>
    </row>
    <row r="55" spans="1:43" s="32" customFormat="1" ht="11.25">
      <c r="A55" s="28"/>
      <c r="B55" s="320" t="s">
        <v>32</v>
      </c>
      <c r="C55" s="29"/>
      <c r="D55" s="103" t="s">
        <v>34</v>
      </c>
      <c r="E55" s="104" t="s">
        <v>34</v>
      </c>
      <c r="F55" s="104" t="s">
        <v>34</v>
      </c>
      <c r="G55" s="104" t="s">
        <v>34</v>
      </c>
      <c r="H55" s="104" t="s">
        <v>34</v>
      </c>
      <c r="I55" s="57"/>
      <c r="J55" s="104" t="s">
        <v>34</v>
      </c>
      <c r="K55" s="104" t="s">
        <v>34</v>
      </c>
      <c r="L55" s="104">
        <v>2.6</v>
      </c>
      <c r="M55" s="104">
        <v>2.56</v>
      </c>
      <c r="N55" s="104">
        <v>2.58</v>
      </c>
      <c r="O55" s="57"/>
      <c r="P55" s="43">
        <v>1.73</v>
      </c>
      <c r="Q55" s="43">
        <v>1.77</v>
      </c>
      <c r="R55" s="43">
        <v>2.19</v>
      </c>
      <c r="S55" s="43">
        <v>2.11</v>
      </c>
      <c r="T55" s="104">
        <v>1.96</v>
      </c>
      <c r="U55" s="57"/>
      <c r="V55" s="104">
        <v>1.94</v>
      </c>
      <c r="W55" s="104">
        <v>1.53</v>
      </c>
      <c r="X55" s="104">
        <v>1.56</v>
      </c>
      <c r="Y55" s="104">
        <v>1.44</v>
      </c>
      <c r="Z55" s="104">
        <v>1.67</v>
      </c>
      <c r="AA55" s="57"/>
      <c r="AB55" s="104">
        <v>1.43</v>
      </c>
      <c r="AC55" s="104">
        <v>0.83</v>
      </c>
      <c r="AD55" s="104">
        <v>1.29</v>
      </c>
      <c r="AE55" s="104">
        <v>1.56</v>
      </c>
      <c r="AF55" s="104">
        <v>1.31</v>
      </c>
      <c r="AG55" s="57"/>
      <c r="AH55" s="104">
        <v>1.34</v>
      </c>
      <c r="AI55" s="104">
        <v>1.58</v>
      </c>
      <c r="AJ55" s="305">
        <v>1.25</v>
      </c>
      <c r="AK55" s="305">
        <v>1.47</v>
      </c>
      <c r="AL55" s="305">
        <v>1.41</v>
      </c>
      <c r="AM55" s="305">
        <v>1.15</v>
      </c>
      <c r="AN55" s="305">
        <v>1.34</v>
      </c>
      <c r="AO55" s="305">
        <v>1.21</v>
      </c>
      <c r="AP55" s="347">
        <v>1.08</v>
      </c>
      <c r="AQ55" s="347">
        <v>1.19</v>
      </c>
    </row>
    <row r="56" spans="1:41" s="31" customFormat="1" ht="11.25">
      <c r="A56" s="28"/>
      <c r="B56" s="29"/>
      <c r="C56" s="29"/>
      <c r="D56" s="44"/>
      <c r="E56" s="44"/>
      <c r="F56" s="44"/>
      <c r="G56" s="44"/>
      <c r="H56" s="44"/>
      <c r="J56" s="44"/>
      <c r="K56" s="44"/>
      <c r="L56" s="44"/>
      <c r="M56" s="44"/>
      <c r="N56" s="44"/>
      <c r="P56" s="45"/>
      <c r="Q56" s="45"/>
      <c r="R56" s="45"/>
      <c r="S56" s="45"/>
      <c r="T56" s="44"/>
      <c r="V56" s="44"/>
      <c r="W56" s="44"/>
      <c r="X56" s="44"/>
      <c r="Y56" s="44"/>
      <c r="Z56" s="44"/>
      <c r="AB56" s="44"/>
      <c r="AC56" s="44"/>
      <c r="AD56" s="44"/>
      <c r="AE56" s="44"/>
      <c r="AF56" s="44"/>
      <c r="AH56" s="44"/>
      <c r="AI56" s="44"/>
      <c r="AJ56" s="306"/>
      <c r="AK56" s="306"/>
      <c r="AL56" s="312"/>
      <c r="AM56" s="312"/>
      <c r="AN56" s="312"/>
      <c r="AO56" s="312"/>
    </row>
    <row r="57" spans="2:41" s="31" customFormat="1" ht="12" customHeight="1">
      <c r="B57" s="37"/>
      <c r="C57" s="37"/>
      <c r="D57" s="44"/>
      <c r="E57" s="44"/>
      <c r="F57" s="44"/>
      <c r="G57" s="44"/>
      <c r="H57" s="44"/>
      <c r="I57" s="106"/>
      <c r="J57" s="44"/>
      <c r="K57" s="44"/>
      <c r="L57" s="44"/>
      <c r="M57" s="44"/>
      <c r="N57" s="44"/>
      <c r="O57" s="106"/>
      <c r="P57" s="46"/>
      <c r="Q57" s="46"/>
      <c r="R57" s="46"/>
      <c r="S57" s="46"/>
      <c r="T57" s="44"/>
      <c r="U57" s="106"/>
      <c r="V57" s="44"/>
      <c r="W57" s="44"/>
      <c r="X57" s="44"/>
      <c r="Y57" s="44"/>
      <c r="Z57" s="44"/>
      <c r="AA57" s="106"/>
      <c r="AB57" s="44"/>
      <c r="AC57" s="44"/>
      <c r="AD57" s="44"/>
      <c r="AE57" s="44"/>
      <c r="AF57" s="44"/>
      <c r="AG57" s="106"/>
      <c r="AH57" s="44"/>
      <c r="AI57" s="44"/>
      <c r="AJ57" s="306"/>
      <c r="AK57" s="306"/>
      <c r="AL57" s="312"/>
      <c r="AM57" s="312"/>
      <c r="AN57" s="312"/>
      <c r="AO57" s="312"/>
    </row>
    <row r="58" spans="2:41" s="150" customFormat="1" ht="12" customHeight="1">
      <c r="B58" s="13" t="s">
        <v>17</v>
      </c>
      <c r="C58" s="13"/>
      <c r="D58" s="18"/>
      <c r="E58" s="18"/>
      <c r="F58" s="18"/>
      <c r="G58" s="18"/>
      <c r="H58" s="19"/>
      <c r="I58" s="112"/>
      <c r="J58" s="18"/>
      <c r="K58" s="18"/>
      <c r="L58" s="18"/>
      <c r="M58" s="18"/>
      <c r="N58" s="19"/>
      <c r="O58" s="112"/>
      <c r="P58" s="18"/>
      <c r="Q58" s="18"/>
      <c r="R58" s="18"/>
      <c r="S58" s="18"/>
      <c r="T58" s="18"/>
      <c r="U58" s="112"/>
      <c r="V58" s="18"/>
      <c r="W58" s="18"/>
      <c r="X58" s="18"/>
      <c r="Y58" s="18"/>
      <c r="Z58" s="18"/>
      <c r="AA58" s="112"/>
      <c r="AB58" s="18"/>
      <c r="AC58" s="18"/>
      <c r="AD58" s="18"/>
      <c r="AE58" s="18"/>
      <c r="AF58" s="18"/>
      <c r="AG58" s="112"/>
      <c r="AH58" s="18"/>
      <c r="AI58" s="18"/>
      <c r="AJ58" s="302"/>
      <c r="AK58" s="302"/>
      <c r="AL58" s="328"/>
      <c r="AM58" s="328"/>
      <c r="AN58" s="328"/>
      <c r="AO58" s="312"/>
    </row>
    <row r="59" spans="2:43" s="48" customFormat="1" ht="12" customHeight="1">
      <c r="B59" s="151" t="s">
        <v>18</v>
      </c>
      <c r="C59" s="152"/>
      <c r="D59" s="158">
        <v>401</v>
      </c>
      <c r="E59" s="47">
        <v>392</v>
      </c>
      <c r="F59" s="47">
        <v>403</v>
      </c>
      <c r="G59" s="47">
        <v>439</v>
      </c>
      <c r="H59" s="47">
        <v>1635</v>
      </c>
      <c r="I59" s="58"/>
      <c r="J59" s="47">
        <v>564</v>
      </c>
      <c r="K59" s="47">
        <v>516</v>
      </c>
      <c r="L59" s="47">
        <v>486</v>
      </c>
      <c r="M59" s="47">
        <v>449</v>
      </c>
      <c r="N59" s="47">
        <v>2015</v>
      </c>
      <c r="O59" s="58"/>
      <c r="P59" s="47">
        <v>404</v>
      </c>
      <c r="Q59" s="47">
        <v>425</v>
      </c>
      <c r="R59" s="47">
        <v>435</v>
      </c>
      <c r="S59" s="47">
        <v>454</v>
      </c>
      <c r="T59" s="47">
        <v>1718</v>
      </c>
      <c r="U59" s="58"/>
      <c r="V59" s="47">
        <v>405</v>
      </c>
      <c r="W59" s="47">
        <v>428</v>
      </c>
      <c r="X59" s="47">
        <v>404</v>
      </c>
      <c r="Y59" s="47">
        <v>447</v>
      </c>
      <c r="Z59" s="47">
        <f aca="true" t="shared" si="15" ref="Z59:Z71">V59+W59+X59+Y59</f>
        <v>1684</v>
      </c>
      <c r="AA59" s="58"/>
      <c r="AB59" s="47">
        <v>417</v>
      </c>
      <c r="AC59" s="47">
        <v>576</v>
      </c>
      <c r="AD59" s="47">
        <v>432</v>
      </c>
      <c r="AE59" s="47">
        <v>478</v>
      </c>
      <c r="AF59" s="47">
        <v>1903</v>
      </c>
      <c r="AG59" s="58"/>
      <c r="AH59" s="47">
        <v>496</v>
      </c>
      <c r="AI59" s="47">
        <v>465</v>
      </c>
      <c r="AJ59" s="242">
        <v>481</v>
      </c>
      <c r="AK59" s="242">
        <v>571</v>
      </c>
      <c r="AL59" s="242">
        <v>2013</v>
      </c>
      <c r="AM59" s="242">
        <v>499</v>
      </c>
      <c r="AN59" s="242">
        <v>489</v>
      </c>
      <c r="AO59" s="242">
        <v>456</v>
      </c>
      <c r="AP59" s="81">
        <v>618</v>
      </c>
      <c r="AQ59" s="81">
        <v>2062</v>
      </c>
    </row>
    <row r="60" spans="2:43" s="48" customFormat="1" ht="12" customHeight="1">
      <c r="B60" s="151" t="s">
        <v>19</v>
      </c>
      <c r="C60" s="152"/>
      <c r="D60" s="158">
        <v>1160</v>
      </c>
      <c r="E60" s="47">
        <v>1137</v>
      </c>
      <c r="F60" s="47">
        <v>1166</v>
      </c>
      <c r="G60" s="47">
        <v>1241</v>
      </c>
      <c r="H60" s="47">
        <v>4704</v>
      </c>
      <c r="I60" s="58"/>
      <c r="J60" s="47">
        <v>1179</v>
      </c>
      <c r="K60" s="47">
        <v>1118</v>
      </c>
      <c r="L60" s="47">
        <v>1172</v>
      </c>
      <c r="M60" s="47">
        <v>1237</v>
      </c>
      <c r="N60" s="47">
        <v>4706</v>
      </c>
      <c r="O60" s="58"/>
      <c r="P60" s="47">
        <v>1128</v>
      </c>
      <c r="Q60" s="47">
        <v>1178</v>
      </c>
      <c r="R60" s="47">
        <v>1152</v>
      </c>
      <c r="S60" s="47">
        <v>1214</v>
      </c>
      <c r="T60" s="47">
        <v>4672</v>
      </c>
      <c r="U60" s="58"/>
      <c r="V60" s="47">
        <v>1173</v>
      </c>
      <c r="W60" s="47">
        <v>1235</v>
      </c>
      <c r="X60" s="47">
        <v>1210</v>
      </c>
      <c r="Y60" s="47">
        <v>1338</v>
      </c>
      <c r="Z60" s="47">
        <f t="shared" si="15"/>
        <v>4956</v>
      </c>
      <c r="AA60" s="58"/>
      <c r="AB60" s="47">
        <v>1223</v>
      </c>
      <c r="AC60" s="47">
        <v>1357</v>
      </c>
      <c r="AD60" s="47">
        <v>1290</v>
      </c>
      <c r="AE60" s="47">
        <v>1332</v>
      </c>
      <c r="AF60" s="47">
        <v>5202</v>
      </c>
      <c r="AG60" s="58"/>
      <c r="AH60" s="47">
        <v>1344</v>
      </c>
      <c r="AI60" s="47">
        <v>1363</v>
      </c>
      <c r="AJ60" s="242">
        <v>1443</v>
      </c>
      <c r="AK60" s="242">
        <v>1444</v>
      </c>
      <c r="AL60" s="242">
        <v>5594</v>
      </c>
      <c r="AM60" s="242">
        <v>1368</v>
      </c>
      <c r="AN60" s="242">
        <v>1430</v>
      </c>
      <c r="AO60" s="242">
        <v>1466</v>
      </c>
      <c r="AP60" s="81">
        <v>1620</v>
      </c>
      <c r="AQ60" s="81">
        <v>5884</v>
      </c>
    </row>
    <row r="61" spans="2:43" s="48" customFormat="1" ht="12" customHeight="1">
      <c r="B61" s="151" t="s">
        <v>20</v>
      </c>
      <c r="C61" s="152"/>
      <c r="D61" s="158">
        <v>1950</v>
      </c>
      <c r="E61" s="47">
        <v>1794</v>
      </c>
      <c r="F61" s="47">
        <v>1995</v>
      </c>
      <c r="G61" s="47">
        <v>1868</v>
      </c>
      <c r="H61" s="47">
        <v>7607</v>
      </c>
      <c r="I61" s="58"/>
      <c r="J61" s="47">
        <v>1755</v>
      </c>
      <c r="K61" s="47">
        <v>1949</v>
      </c>
      <c r="L61" s="47">
        <v>1673</v>
      </c>
      <c r="M61" s="47">
        <v>1887</v>
      </c>
      <c r="N61" s="47">
        <v>7264</v>
      </c>
      <c r="O61" s="58"/>
      <c r="P61" s="47">
        <v>1780</v>
      </c>
      <c r="Q61" s="47">
        <v>1819</v>
      </c>
      <c r="R61" s="47">
        <v>1550</v>
      </c>
      <c r="S61" s="47">
        <v>1886</v>
      </c>
      <c r="T61" s="47">
        <v>7035</v>
      </c>
      <c r="U61" s="58"/>
      <c r="V61" s="47">
        <v>1770</v>
      </c>
      <c r="W61" s="47">
        <v>1844</v>
      </c>
      <c r="X61" s="47">
        <v>1972</v>
      </c>
      <c r="Y61" s="47">
        <v>1874</v>
      </c>
      <c r="Z61" s="47">
        <f t="shared" si="15"/>
        <v>7460</v>
      </c>
      <c r="AA61" s="58"/>
      <c r="AB61" s="47">
        <v>1821</v>
      </c>
      <c r="AC61" s="47">
        <v>1558</v>
      </c>
      <c r="AD61" s="47">
        <v>1711</v>
      </c>
      <c r="AE61" s="47">
        <v>2007</v>
      </c>
      <c r="AF61" s="47">
        <v>7097</v>
      </c>
      <c r="AG61" s="58"/>
      <c r="AH61" s="47">
        <v>2041</v>
      </c>
      <c r="AI61" s="47">
        <v>1984</v>
      </c>
      <c r="AJ61" s="242">
        <v>1936</v>
      </c>
      <c r="AK61" s="242">
        <v>1984</v>
      </c>
      <c r="AL61" s="242">
        <v>7945</v>
      </c>
      <c r="AM61" s="242">
        <v>1945</v>
      </c>
      <c r="AN61" s="242">
        <v>1753</v>
      </c>
      <c r="AO61" s="242">
        <v>2084</v>
      </c>
      <c r="AP61" s="81">
        <v>2132</v>
      </c>
      <c r="AQ61" s="81">
        <v>7914</v>
      </c>
    </row>
    <row r="62" spans="2:43" s="48" customFormat="1" ht="12" customHeight="1">
      <c r="B62" s="151" t="s">
        <v>21</v>
      </c>
      <c r="C62" s="152"/>
      <c r="D62" s="158">
        <v>451</v>
      </c>
      <c r="E62" s="47">
        <v>433</v>
      </c>
      <c r="F62" s="47">
        <v>453</v>
      </c>
      <c r="G62" s="47">
        <v>476</v>
      </c>
      <c r="H62" s="47">
        <v>1813</v>
      </c>
      <c r="I62" s="58"/>
      <c r="J62" s="47">
        <v>418</v>
      </c>
      <c r="K62" s="47">
        <v>532</v>
      </c>
      <c r="L62" s="47">
        <v>545</v>
      </c>
      <c r="M62" s="47">
        <v>615</v>
      </c>
      <c r="N62" s="47">
        <v>2110</v>
      </c>
      <c r="O62" s="58"/>
      <c r="P62" s="47">
        <v>479</v>
      </c>
      <c r="Q62" s="47">
        <v>550</v>
      </c>
      <c r="R62" s="47">
        <v>524</v>
      </c>
      <c r="S62" s="47">
        <v>639</v>
      </c>
      <c r="T62" s="47">
        <v>2192</v>
      </c>
      <c r="U62" s="58"/>
      <c r="V62" s="47">
        <v>455</v>
      </c>
      <c r="W62" s="47">
        <v>594</v>
      </c>
      <c r="X62" s="47">
        <v>481</v>
      </c>
      <c r="Y62" s="47">
        <v>626</v>
      </c>
      <c r="Z62" s="47">
        <f t="shared" si="15"/>
        <v>2156</v>
      </c>
      <c r="AA62" s="58"/>
      <c r="AB62" s="47">
        <v>509</v>
      </c>
      <c r="AC62" s="47">
        <v>522</v>
      </c>
      <c r="AD62" s="47">
        <v>690</v>
      </c>
      <c r="AE62" s="47">
        <v>683</v>
      </c>
      <c r="AF62" s="47">
        <v>2404</v>
      </c>
      <c r="AG62" s="58"/>
      <c r="AH62" s="47">
        <v>478</v>
      </c>
      <c r="AI62" s="47">
        <v>646</v>
      </c>
      <c r="AJ62" s="242">
        <v>811</v>
      </c>
      <c r="AK62" s="242">
        <v>720</v>
      </c>
      <c r="AL62" s="242">
        <v>2655</v>
      </c>
      <c r="AM62" s="242">
        <v>507</v>
      </c>
      <c r="AN62" s="242">
        <v>505</v>
      </c>
      <c r="AO62" s="242">
        <v>549</v>
      </c>
      <c r="AP62" s="81">
        <v>665</v>
      </c>
      <c r="AQ62" s="81">
        <v>2226</v>
      </c>
    </row>
    <row r="63" spans="2:43" s="48" customFormat="1" ht="12" customHeight="1">
      <c r="B63" s="151" t="s">
        <v>45</v>
      </c>
      <c r="C63" s="152"/>
      <c r="D63" s="158">
        <v>395</v>
      </c>
      <c r="E63" s="47">
        <v>353</v>
      </c>
      <c r="F63" s="47">
        <v>383</v>
      </c>
      <c r="G63" s="47">
        <v>389</v>
      </c>
      <c r="H63" s="47">
        <v>1520</v>
      </c>
      <c r="I63" s="58"/>
      <c r="J63" s="47">
        <v>393</v>
      </c>
      <c r="K63" s="47">
        <v>417</v>
      </c>
      <c r="L63" s="47">
        <v>325</v>
      </c>
      <c r="M63" s="47">
        <v>304</v>
      </c>
      <c r="N63" s="47">
        <v>1439</v>
      </c>
      <c r="O63" s="58"/>
      <c r="P63" s="47">
        <v>293</v>
      </c>
      <c r="Q63" s="47">
        <v>313</v>
      </c>
      <c r="R63" s="47">
        <v>336</v>
      </c>
      <c r="S63" s="47">
        <v>396</v>
      </c>
      <c r="T63" s="47">
        <v>1338</v>
      </c>
      <c r="U63" s="58"/>
      <c r="V63" s="47">
        <v>466</v>
      </c>
      <c r="W63" s="47">
        <v>405</v>
      </c>
      <c r="X63" s="47">
        <v>438</v>
      </c>
      <c r="Y63" s="47">
        <v>456</v>
      </c>
      <c r="Z63" s="47">
        <f t="shared" si="15"/>
        <v>1765</v>
      </c>
      <c r="AA63" s="58"/>
      <c r="AB63" s="47">
        <v>434</v>
      </c>
      <c r="AC63" s="47">
        <v>466</v>
      </c>
      <c r="AD63" s="47">
        <v>397</v>
      </c>
      <c r="AE63" s="47">
        <v>374</v>
      </c>
      <c r="AF63" s="47">
        <v>1671</v>
      </c>
      <c r="AG63" s="58"/>
      <c r="AH63" s="47">
        <v>420</v>
      </c>
      <c r="AI63" s="47">
        <v>446</v>
      </c>
      <c r="AJ63" s="242">
        <v>326</v>
      </c>
      <c r="AK63" s="242">
        <v>328</v>
      </c>
      <c r="AL63" s="242">
        <v>1520</v>
      </c>
      <c r="AM63" s="242">
        <v>344</v>
      </c>
      <c r="AN63" s="242">
        <v>334</v>
      </c>
      <c r="AO63" s="242">
        <v>442</v>
      </c>
      <c r="AP63" s="81">
        <v>505</v>
      </c>
      <c r="AQ63" s="81">
        <v>1625</v>
      </c>
    </row>
    <row r="64" spans="2:43" s="48" customFormat="1" ht="12" customHeight="1">
      <c r="B64" s="151" t="s">
        <v>22</v>
      </c>
      <c r="C64" s="152"/>
      <c r="D64" s="158">
        <v>134</v>
      </c>
      <c r="E64" s="47">
        <v>103</v>
      </c>
      <c r="F64" s="47">
        <v>123</v>
      </c>
      <c r="G64" s="47">
        <v>128</v>
      </c>
      <c r="H64" s="47">
        <v>488</v>
      </c>
      <c r="I64" s="58"/>
      <c r="J64" s="47">
        <v>140</v>
      </c>
      <c r="K64" s="47">
        <v>109</v>
      </c>
      <c r="L64" s="47">
        <v>132</v>
      </c>
      <c r="M64" s="47">
        <v>123</v>
      </c>
      <c r="N64" s="47">
        <v>504</v>
      </c>
      <c r="O64" s="58"/>
      <c r="P64" s="47">
        <v>128</v>
      </c>
      <c r="Q64" s="47">
        <v>127</v>
      </c>
      <c r="R64" s="47">
        <v>119</v>
      </c>
      <c r="S64" s="47">
        <v>125</v>
      </c>
      <c r="T64" s="47">
        <v>499</v>
      </c>
      <c r="U64" s="58"/>
      <c r="V64" s="47">
        <v>136</v>
      </c>
      <c r="W64" s="47">
        <v>125</v>
      </c>
      <c r="X64" s="47">
        <v>127</v>
      </c>
      <c r="Y64" s="47">
        <v>118</v>
      </c>
      <c r="Z64" s="47">
        <f t="shared" si="15"/>
        <v>506</v>
      </c>
      <c r="AA64" s="58"/>
      <c r="AB64" s="47">
        <v>140</v>
      </c>
      <c r="AC64" s="47">
        <v>138</v>
      </c>
      <c r="AD64" s="47">
        <v>127</v>
      </c>
      <c r="AE64" s="47">
        <v>130</v>
      </c>
      <c r="AF64" s="47">
        <v>535</v>
      </c>
      <c r="AG64" s="58"/>
      <c r="AH64" s="47">
        <v>132</v>
      </c>
      <c r="AI64" s="47">
        <v>128</v>
      </c>
      <c r="AJ64" s="242">
        <v>128</v>
      </c>
      <c r="AK64" s="242">
        <v>133</v>
      </c>
      <c r="AL64" s="242">
        <v>521</v>
      </c>
      <c r="AM64" s="242">
        <v>139</v>
      </c>
      <c r="AN64" s="242">
        <v>127</v>
      </c>
      <c r="AO64" s="242">
        <v>115</v>
      </c>
      <c r="AP64" s="81">
        <v>163</v>
      </c>
      <c r="AQ64" s="81">
        <v>544</v>
      </c>
    </row>
    <row r="65" spans="2:43" s="48" customFormat="1" ht="24" customHeight="1">
      <c r="B65" s="151" t="s">
        <v>184</v>
      </c>
      <c r="C65" s="152"/>
      <c r="D65" s="158">
        <v>0</v>
      </c>
      <c r="E65" s="47">
        <v>0</v>
      </c>
      <c r="F65" s="47">
        <v>1</v>
      </c>
      <c r="G65" s="47">
        <v>42</v>
      </c>
      <c r="H65" s="47">
        <v>43</v>
      </c>
      <c r="I65" s="58"/>
      <c r="J65" s="47">
        <v>0</v>
      </c>
      <c r="K65" s="47">
        <v>0</v>
      </c>
      <c r="L65" s="47">
        <v>26</v>
      </c>
      <c r="M65" s="47">
        <v>2391</v>
      </c>
      <c r="N65" s="47">
        <v>2417</v>
      </c>
      <c r="O65" s="58"/>
      <c r="P65" s="47">
        <v>0</v>
      </c>
      <c r="Q65" s="47">
        <v>0</v>
      </c>
      <c r="R65" s="47">
        <v>0</v>
      </c>
      <c r="S65" s="47">
        <v>269</v>
      </c>
      <c r="T65" s="47">
        <v>269</v>
      </c>
      <c r="U65" s="58"/>
      <c r="V65" s="47">
        <v>0</v>
      </c>
      <c r="W65" s="47">
        <v>0</v>
      </c>
      <c r="X65" s="47">
        <v>0</v>
      </c>
      <c r="Y65" s="47">
        <v>-344</v>
      </c>
      <c r="Z65" s="47">
        <f t="shared" si="15"/>
        <v>-344</v>
      </c>
      <c r="AA65" s="58"/>
      <c r="AB65" s="47">
        <v>0</v>
      </c>
      <c r="AC65" s="47">
        <v>0</v>
      </c>
      <c r="AD65" s="47">
        <v>0</v>
      </c>
      <c r="AE65" s="47">
        <v>9</v>
      </c>
      <c r="AF65" s="47">
        <f>-26+35</f>
        <v>9</v>
      </c>
      <c r="AG65" s="58"/>
      <c r="AH65" s="47">
        <v>0</v>
      </c>
      <c r="AI65" s="47">
        <v>0</v>
      </c>
      <c r="AJ65" s="242">
        <v>0</v>
      </c>
      <c r="AK65" s="242">
        <v>-19</v>
      </c>
      <c r="AL65" s="242">
        <v>-19</v>
      </c>
      <c r="AM65" s="242">
        <v>27</v>
      </c>
      <c r="AN65" s="242">
        <v>65</v>
      </c>
      <c r="AO65" s="242">
        <v>0</v>
      </c>
      <c r="AP65" s="81">
        <v>70</v>
      </c>
      <c r="AQ65" s="81">
        <v>162</v>
      </c>
    </row>
    <row r="66" spans="2:43" s="48" customFormat="1" ht="12" customHeight="1">
      <c r="B66" s="151" t="s">
        <v>23</v>
      </c>
      <c r="C66" s="152"/>
      <c r="D66" s="158">
        <v>35</v>
      </c>
      <c r="E66" s="47">
        <v>68</v>
      </c>
      <c r="F66" s="47">
        <v>64</v>
      </c>
      <c r="G66" s="47">
        <v>136</v>
      </c>
      <c r="H66" s="47">
        <v>303</v>
      </c>
      <c r="I66" s="58"/>
      <c r="J66" s="47">
        <v>50</v>
      </c>
      <c r="K66" s="47">
        <v>126</v>
      </c>
      <c r="L66" s="47">
        <v>80</v>
      </c>
      <c r="M66" s="47">
        <v>115</v>
      </c>
      <c r="N66" s="47">
        <v>371</v>
      </c>
      <c r="O66" s="58"/>
      <c r="P66" s="47">
        <v>43</v>
      </c>
      <c r="Q66" s="47">
        <v>64</v>
      </c>
      <c r="R66" s="47">
        <v>95</v>
      </c>
      <c r="S66" s="47">
        <v>72</v>
      </c>
      <c r="T66" s="47">
        <v>274</v>
      </c>
      <c r="U66" s="58"/>
      <c r="V66" s="47">
        <v>52</v>
      </c>
      <c r="W66" s="47">
        <v>62</v>
      </c>
      <c r="X66" s="47">
        <v>48</v>
      </c>
      <c r="Y66" s="47">
        <v>178</v>
      </c>
      <c r="Z66" s="47">
        <f t="shared" si="15"/>
        <v>340</v>
      </c>
      <c r="AA66" s="58"/>
      <c r="AB66" s="47">
        <v>52</v>
      </c>
      <c r="AC66" s="47">
        <v>51</v>
      </c>
      <c r="AD66" s="47">
        <v>62</v>
      </c>
      <c r="AE66" s="47">
        <v>54</v>
      </c>
      <c r="AF66" s="47">
        <v>219</v>
      </c>
      <c r="AG66" s="58"/>
      <c r="AH66" s="47">
        <v>42</v>
      </c>
      <c r="AI66" s="47">
        <v>63</v>
      </c>
      <c r="AJ66" s="242">
        <v>27</v>
      </c>
      <c r="AK66" s="242">
        <v>293</v>
      </c>
      <c r="AL66" s="242">
        <v>425</v>
      </c>
      <c r="AM66" s="242">
        <f>45+68</f>
        <v>113</v>
      </c>
      <c r="AN66" s="242">
        <v>59</v>
      </c>
      <c r="AO66" s="242">
        <v>46</v>
      </c>
      <c r="AP66" s="81">
        <v>66</v>
      </c>
      <c r="AQ66" s="81">
        <v>284</v>
      </c>
    </row>
    <row r="67" spans="2:43" s="48" customFormat="1" ht="12" customHeight="1">
      <c r="B67" s="322" t="s">
        <v>24</v>
      </c>
      <c r="C67" s="321"/>
      <c r="D67" s="160">
        <f>SUM(D59:D66)</f>
        <v>4526</v>
      </c>
      <c r="E67" s="161">
        <f>SUM(E59:E66)</f>
        <v>4280</v>
      </c>
      <c r="F67" s="161">
        <f>SUM(F59:F66)</f>
        <v>4588</v>
      </c>
      <c r="G67" s="161">
        <f>SUM(G59:G66)</f>
        <v>4719</v>
      </c>
      <c r="H67" s="161">
        <f>SUM(H59:H66)</f>
        <v>18113</v>
      </c>
      <c r="I67" s="61"/>
      <c r="J67" s="161">
        <f>SUM(J59:J66)</f>
        <v>4499</v>
      </c>
      <c r="K67" s="161">
        <f>SUM(K59:K66)</f>
        <v>4767</v>
      </c>
      <c r="L67" s="161">
        <f>SUM(L59:L66)</f>
        <v>4439</v>
      </c>
      <c r="M67" s="161">
        <f>SUM(M59:M66)</f>
        <v>7121</v>
      </c>
      <c r="N67" s="161">
        <f>SUM(N59:N66)</f>
        <v>20826</v>
      </c>
      <c r="O67" s="61"/>
      <c r="P67" s="161">
        <f aca="true" t="shared" si="16" ref="P67:Y67">SUM(P59:P66)</f>
        <v>4255</v>
      </c>
      <c r="Q67" s="161">
        <f t="shared" si="16"/>
        <v>4476</v>
      </c>
      <c r="R67" s="161">
        <f t="shared" si="16"/>
        <v>4211</v>
      </c>
      <c r="S67" s="161">
        <f t="shared" si="16"/>
        <v>5055</v>
      </c>
      <c r="T67" s="161">
        <f t="shared" si="16"/>
        <v>17997</v>
      </c>
      <c r="U67" s="61"/>
      <c r="V67" s="161">
        <f t="shared" si="16"/>
        <v>4457</v>
      </c>
      <c r="W67" s="161">
        <f t="shared" si="16"/>
        <v>4693</v>
      </c>
      <c r="X67" s="161">
        <f t="shared" si="16"/>
        <v>4680</v>
      </c>
      <c r="Y67" s="161">
        <f t="shared" si="16"/>
        <v>4693</v>
      </c>
      <c r="Z67" s="161">
        <f t="shared" si="15"/>
        <v>18523</v>
      </c>
      <c r="AA67" s="61"/>
      <c r="AB67" s="161">
        <f>SUM(AB59:AB66)</f>
        <v>4596</v>
      </c>
      <c r="AC67" s="161">
        <f>SUM(AC59:AC66)</f>
        <v>4668</v>
      </c>
      <c r="AD67" s="161">
        <f>SUM(AD59:AD66)</f>
        <v>4709</v>
      </c>
      <c r="AE67" s="161">
        <f>SUM(AE59:AE66)</f>
        <v>5067</v>
      </c>
      <c r="AF67" s="161">
        <f>SUM(AF59:AF66)</f>
        <v>19040</v>
      </c>
      <c r="AG67" s="61"/>
      <c r="AH67" s="161">
        <f>SUM(AH59:AH66)</f>
        <v>4953</v>
      </c>
      <c r="AI67" s="161">
        <f>SUM(AI59:AI66)</f>
        <v>5095</v>
      </c>
      <c r="AJ67" s="289">
        <f>SUM(AJ59:AJ66)</f>
        <v>5152</v>
      </c>
      <c r="AK67" s="289">
        <v>5454</v>
      </c>
      <c r="AL67" s="289">
        <v>20654</v>
      </c>
      <c r="AM67" s="289">
        <v>4942</v>
      </c>
      <c r="AN67" s="289">
        <v>4762</v>
      </c>
      <c r="AO67" s="289">
        <f>SUM(AO59:AO66)</f>
        <v>5158</v>
      </c>
      <c r="AP67" s="82">
        <f>AQ67-AO67-AN67-AM67</f>
        <v>5839</v>
      </c>
      <c r="AQ67" s="82">
        <v>20701</v>
      </c>
    </row>
    <row r="68" spans="2:43" s="48" customFormat="1" ht="12" customHeight="1">
      <c r="B68" s="151" t="s">
        <v>25</v>
      </c>
      <c r="C68" s="152"/>
      <c r="D68" s="158">
        <v>111</v>
      </c>
      <c r="E68" s="47">
        <v>142</v>
      </c>
      <c r="F68" s="47">
        <v>130</v>
      </c>
      <c r="G68" s="47">
        <v>151</v>
      </c>
      <c r="H68" s="47">
        <v>534</v>
      </c>
      <c r="I68" s="58"/>
      <c r="J68" s="47">
        <v>117</v>
      </c>
      <c r="K68" s="47">
        <v>126</v>
      </c>
      <c r="L68" s="47">
        <v>146</v>
      </c>
      <c r="M68" s="47">
        <v>116</v>
      </c>
      <c r="N68" s="47">
        <v>505</v>
      </c>
      <c r="O68" s="58"/>
      <c r="P68" s="47">
        <v>90</v>
      </c>
      <c r="Q68" s="47">
        <v>122</v>
      </c>
      <c r="R68" s="47">
        <v>105</v>
      </c>
      <c r="S68" s="47">
        <v>119</v>
      </c>
      <c r="T68" s="47">
        <v>436</v>
      </c>
      <c r="U68" s="58"/>
      <c r="V68" s="47">
        <v>160</v>
      </c>
      <c r="W68" s="47">
        <v>133</v>
      </c>
      <c r="X68" s="47">
        <v>144</v>
      </c>
      <c r="Y68" s="47">
        <v>134</v>
      </c>
      <c r="Z68" s="47">
        <f t="shared" si="15"/>
        <v>571</v>
      </c>
      <c r="AA68" s="58"/>
      <c r="AB68" s="47">
        <v>163</v>
      </c>
      <c r="AC68" s="47">
        <v>179</v>
      </c>
      <c r="AD68" s="47">
        <v>180</v>
      </c>
      <c r="AE68" s="47">
        <v>131</v>
      </c>
      <c r="AF68" s="47">
        <v>653</v>
      </c>
      <c r="AG68" s="58"/>
      <c r="AH68" s="47">
        <v>203</v>
      </c>
      <c r="AI68" s="47">
        <v>179</v>
      </c>
      <c r="AJ68" s="242">
        <v>173</v>
      </c>
      <c r="AK68" s="242">
        <v>126</v>
      </c>
      <c r="AL68" s="242">
        <v>681</v>
      </c>
      <c r="AM68" s="242">
        <v>148</v>
      </c>
      <c r="AN68" s="242">
        <v>251</v>
      </c>
      <c r="AO68" s="242">
        <v>152</v>
      </c>
      <c r="AP68" s="81">
        <v>121</v>
      </c>
      <c r="AQ68" s="81">
        <v>672</v>
      </c>
    </row>
    <row r="69" spans="2:43" s="48" customFormat="1" ht="12" customHeight="1">
      <c r="B69" s="151" t="s">
        <v>26</v>
      </c>
      <c r="C69" s="152"/>
      <c r="D69" s="158">
        <v>-315</v>
      </c>
      <c r="E69" s="47">
        <v>-119</v>
      </c>
      <c r="F69" s="47">
        <v>-59</v>
      </c>
      <c r="G69" s="47">
        <v>498</v>
      </c>
      <c r="H69" s="47">
        <v>5</v>
      </c>
      <c r="I69" s="58"/>
      <c r="J69" s="47">
        <v>-253</v>
      </c>
      <c r="K69" s="47">
        <v>-192</v>
      </c>
      <c r="L69" s="47">
        <v>141</v>
      </c>
      <c r="M69" s="47">
        <v>300</v>
      </c>
      <c r="N69" s="47">
        <v>-4</v>
      </c>
      <c r="O69" s="58"/>
      <c r="P69" s="47">
        <v>-573</v>
      </c>
      <c r="Q69" s="47">
        <v>-226</v>
      </c>
      <c r="R69" s="47">
        <v>18</v>
      </c>
      <c r="S69" s="47">
        <v>556</v>
      </c>
      <c r="T69" s="47">
        <v>-225</v>
      </c>
      <c r="U69" s="58"/>
      <c r="V69" s="47">
        <v>-531</v>
      </c>
      <c r="W69" s="47">
        <v>-314</v>
      </c>
      <c r="X69" s="47">
        <v>-613</v>
      </c>
      <c r="Y69" s="47">
        <v>379</v>
      </c>
      <c r="Z69" s="47">
        <f t="shared" si="15"/>
        <v>-1079</v>
      </c>
      <c r="AA69" s="58"/>
      <c r="AB69" s="47">
        <v>-836</v>
      </c>
      <c r="AC69" s="47">
        <v>-76</v>
      </c>
      <c r="AD69" s="47">
        <v>142</v>
      </c>
      <c r="AE69" s="47">
        <v>395</v>
      </c>
      <c r="AF69" s="47">
        <v>-375</v>
      </c>
      <c r="AG69" s="58"/>
      <c r="AH69" s="47">
        <v>-158</v>
      </c>
      <c r="AI69" s="47">
        <v>170</v>
      </c>
      <c r="AJ69" s="242">
        <v>-151</v>
      </c>
      <c r="AK69" s="242">
        <v>476</v>
      </c>
      <c r="AL69" s="242">
        <v>337</v>
      </c>
      <c r="AM69" s="242">
        <v>-40</v>
      </c>
      <c r="AN69" s="242">
        <v>263</v>
      </c>
      <c r="AO69" s="242">
        <v>-296</v>
      </c>
      <c r="AP69" s="81">
        <v>547</v>
      </c>
      <c r="AQ69" s="81">
        <v>474</v>
      </c>
    </row>
    <row r="70" spans="2:43" s="48" customFormat="1" ht="24" customHeight="1">
      <c r="B70" s="151" t="s">
        <v>44</v>
      </c>
      <c r="C70" s="152"/>
      <c r="D70" s="158">
        <v>-333</v>
      </c>
      <c r="E70" s="47">
        <v>-333</v>
      </c>
      <c r="F70" s="47">
        <v>-393</v>
      </c>
      <c r="G70" s="47">
        <v>-454</v>
      </c>
      <c r="H70" s="47">
        <v>-1513</v>
      </c>
      <c r="I70" s="58"/>
      <c r="J70" s="47">
        <v>-355</v>
      </c>
      <c r="K70" s="47">
        <v>-415</v>
      </c>
      <c r="L70" s="47">
        <v>-434</v>
      </c>
      <c r="M70" s="47">
        <v>-621</v>
      </c>
      <c r="N70" s="47">
        <v>-1825</v>
      </c>
      <c r="O70" s="58"/>
      <c r="P70" s="47">
        <v>-350</v>
      </c>
      <c r="Q70" s="47">
        <v>-456</v>
      </c>
      <c r="R70" s="47">
        <v>-344</v>
      </c>
      <c r="S70" s="47">
        <v>-446</v>
      </c>
      <c r="T70" s="47">
        <v>-1596</v>
      </c>
      <c r="U70" s="58"/>
      <c r="V70" s="47">
        <v>-249</v>
      </c>
      <c r="W70" s="47">
        <v>-513</v>
      </c>
      <c r="X70" s="47">
        <v>-301</v>
      </c>
      <c r="Y70" s="47">
        <v>-405</v>
      </c>
      <c r="Z70" s="47">
        <f t="shared" si="15"/>
        <v>-1468</v>
      </c>
      <c r="AA70" s="58"/>
      <c r="AB70" s="47">
        <v>-316</v>
      </c>
      <c r="AC70" s="47">
        <v>-307</v>
      </c>
      <c r="AD70" s="47">
        <v>-314</v>
      </c>
      <c r="AE70" s="47">
        <v>-446</v>
      </c>
      <c r="AF70" s="47">
        <v>-1383</v>
      </c>
      <c r="AG70" s="58"/>
      <c r="AH70" s="47">
        <v>-249</v>
      </c>
      <c r="AI70" s="47">
        <v>-370</v>
      </c>
      <c r="AJ70" s="242">
        <v>-356</v>
      </c>
      <c r="AK70" s="242">
        <v>-429</v>
      </c>
      <c r="AL70" s="242">
        <v>1404</v>
      </c>
      <c r="AM70" s="242">
        <v>-246</v>
      </c>
      <c r="AN70" s="242">
        <v>-272</v>
      </c>
      <c r="AO70" s="242">
        <v>-348</v>
      </c>
      <c r="AP70" s="81">
        <v>-510</v>
      </c>
      <c r="AQ70" s="81">
        <v>-1376</v>
      </c>
    </row>
    <row r="71" spans="2:43" s="48" customFormat="1" ht="33.75" customHeight="1">
      <c r="B71" s="322" t="s">
        <v>281</v>
      </c>
      <c r="C71" s="321"/>
      <c r="D71" s="160">
        <f>SUM(D67:D70)</f>
        <v>3989</v>
      </c>
      <c r="E71" s="161">
        <f>SUM(E67:E70)</f>
        <v>3970</v>
      </c>
      <c r="F71" s="161">
        <f>SUM(F67:F70)</f>
        <v>4266</v>
      </c>
      <c r="G71" s="161">
        <f>SUM(G67:G70)</f>
        <v>4914</v>
      </c>
      <c r="H71" s="161">
        <f>SUM(H67:H70)</f>
        <v>17139</v>
      </c>
      <c r="I71" s="61"/>
      <c r="J71" s="161">
        <f>SUM(J67:J70)</f>
        <v>4008</v>
      </c>
      <c r="K71" s="161">
        <f>SUM(K67:K70)</f>
        <v>4286</v>
      </c>
      <c r="L71" s="161">
        <f>SUM(L67:L70)</f>
        <v>4292</v>
      </c>
      <c r="M71" s="161">
        <f>SUM(M67:M70)</f>
        <v>6916</v>
      </c>
      <c r="N71" s="161">
        <f>SUM(N67:N70)</f>
        <v>19502</v>
      </c>
      <c r="O71" s="61"/>
      <c r="P71" s="161">
        <f aca="true" t="shared" si="17" ref="P71:Y71">SUM(P67:P70)</f>
        <v>3422</v>
      </c>
      <c r="Q71" s="161">
        <f t="shared" si="17"/>
        <v>3916</v>
      </c>
      <c r="R71" s="161">
        <f t="shared" si="17"/>
        <v>3990</v>
      </c>
      <c r="S71" s="161">
        <f t="shared" si="17"/>
        <v>5284</v>
      </c>
      <c r="T71" s="161">
        <f t="shared" si="17"/>
        <v>16612</v>
      </c>
      <c r="U71" s="61"/>
      <c r="V71" s="161">
        <f t="shared" si="17"/>
        <v>3837</v>
      </c>
      <c r="W71" s="161">
        <f t="shared" si="17"/>
        <v>3999</v>
      </c>
      <c r="X71" s="161">
        <f t="shared" si="17"/>
        <v>3910</v>
      </c>
      <c r="Y71" s="161">
        <f t="shared" si="17"/>
        <v>4801</v>
      </c>
      <c r="Z71" s="161">
        <f t="shared" si="15"/>
        <v>16547</v>
      </c>
      <c r="AA71" s="61"/>
      <c r="AB71" s="161">
        <f>SUM(AB67:AB70)</f>
        <v>3607</v>
      </c>
      <c r="AC71" s="161">
        <f>SUM(AC67:AC70)</f>
        <v>4464</v>
      </c>
      <c r="AD71" s="161">
        <f>SUM(AD67:AD70)</f>
        <v>4717</v>
      </c>
      <c r="AE71" s="161">
        <f>SUM(AE67:AE70)</f>
        <v>5147</v>
      </c>
      <c r="AF71" s="161">
        <f>AF67+AF68+AF69+AF70</f>
        <v>17935</v>
      </c>
      <c r="AG71" s="61"/>
      <c r="AH71" s="161">
        <f>AH67+AH68+AH69+AH70</f>
        <v>4749</v>
      </c>
      <c r="AI71" s="161">
        <f>AI67+AI68+AI69+AI70</f>
        <v>5074</v>
      </c>
      <c r="AJ71" s="289">
        <f>AJ67+AJ68+AJ69+AJ70</f>
        <v>4818</v>
      </c>
      <c r="AK71" s="289">
        <v>5627</v>
      </c>
      <c r="AL71" s="289">
        <v>20268</v>
      </c>
      <c r="AM71" s="289">
        <v>4804</v>
      </c>
      <c r="AN71" s="289">
        <v>5004</v>
      </c>
      <c r="AO71" s="289">
        <f>AO67+AO68+AO69+AO70</f>
        <v>4666</v>
      </c>
      <c r="AP71" s="82">
        <v>5997</v>
      </c>
      <c r="AQ71" s="82">
        <v>20471</v>
      </c>
    </row>
    <row r="72" spans="1:34" ht="11.25" customHeight="1">
      <c r="A72" s="162"/>
      <c r="B72" s="162"/>
      <c r="C72" s="321"/>
      <c r="D72" s="48"/>
      <c r="E72" s="48"/>
      <c r="F72" s="48"/>
      <c r="T72" s="48"/>
      <c r="V72" s="48"/>
      <c r="W72" s="48"/>
      <c r="X72" s="48"/>
      <c r="Y72" s="48"/>
      <c r="Z72" s="48"/>
      <c r="AB72" s="48"/>
      <c r="AC72" s="48"/>
      <c r="AD72" s="48"/>
      <c r="AE72" s="48"/>
      <c r="AF72" s="48"/>
      <c r="AH72" s="48"/>
    </row>
    <row r="73" spans="1:2" ht="24" customHeight="1">
      <c r="A73" s="482" t="s">
        <v>192</v>
      </c>
      <c r="B73" s="482"/>
    </row>
  </sheetData>
  <sheetProtection/>
  <mergeCells count="1">
    <mergeCell ref="A73:B7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tabSelected="1" zoomScalePageLayoutView="0" workbookViewId="0" topLeftCell="A1">
      <selection activeCell="A3" sqref="A3"/>
    </sheetView>
  </sheetViews>
  <sheetFormatPr defaultColWidth="9.28125" defaultRowHeight="12.75"/>
  <cols>
    <col min="1" max="1" width="61.7109375" style="63" customWidth="1"/>
    <col min="2" max="2" width="0.9921875" style="63" customWidth="1"/>
    <col min="3" max="9" width="13.00390625" style="63" customWidth="1"/>
    <col min="10" max="10" width="15.7109375" style="63" customWidth="1"/>
    <col min="11" max="16384" width="9.28125" style="63" customWidth="1"/>
  </cols>
  <sheetData>
    <row r="1" spans="1:9" ht="15">
      <c r="A1" s="124"/>
      <c r="B1" s="124"/>
      <c r="C1" s="69"/>
      <c r="D1" s="69"/>
      <c r="E1" s="69"/>
      <c r="F1" s="69" t="s">
        <v>299</v>
      </c>
      <c r="G1" s="69"/>
      <c r="H1" s="69"/>
      <c r="I1" s="69"/>
    </row>
    <row r="2" spans="3:9" ht="27" customHeight="1">
      <c r="C2" s="486" t="s">
        <v>87</v>
      </c>
      <c r="D2" s="486" t="s">
        <v>237</v>
      </c>
      <c r="E2" s="486" t="s">
        <v>238</v>
      </c>
      <c r="F2" s="486" t="s">
        <v>239</v>
      </c>
      <c r="G2" s="488" t="s">
        <v>242</v>
      </c>
      <c r="H2" s="488"/>
      <c r="I2" s="486" t="s">
        <v>241</v>
      </c>
    </row>
    <row r="3" spans="1:9" ht="51">
      <c r="A3" s="375" t="s">
        <v>248</v>
      </c>
      <c r="B3" s="117"/>
      <c r="C3" s="487"/>
      <c r="D3" s="487"/>
      <c r="E3" s="487"/>
      <c r="F3" s="487"/>
      <c r="G3" s="329" t="s">
        <v>240</v>
      </c>
      <c r="H3" s="329" t="s">
        <v>243</v>
      </c>
      <c r="I3" s="487"/>
    </row>
    <row r="4" spans="1:9" ht="12.75">
      <c r="A4" s="133" t="s">
        <v>218</v>
      </c>
      <c r="B4" s="64"/>
      <c r="C4" s="163">
        <v>5966</v>
      </c>
      <c r="D4" s="163">
        <v>677</v>
      </c>
      <c r="E4" s="163">
        <v>925</v>
      </c>
      <c r="F4" s="163">
        <v>2252</v>
      </c>
      <c r="G4" s="163">
        <v>-925</v>
      </c>
      <c r="H4" s="163">
        <v>-1843</v>
      </c>
      <c r="I4" s="163">
        <v>7052</v>
      </c>
    </row>
    <row r="5" spans="1:9" ht="12.75">
      <c r="A5" s="118" t="s">
        <v>219</v>
      </c>
      <c r="C5" s="163">
        <v>85</v>
      </c>
      <c r="D5" s="163">
        <v>4</v>
      </c>
      <c r="E5" s="163">
        <v>-4</v>
      </c>
      <c r="F5" s="163">
        <v>1793</v>
      </c>
      <c r="G5" s="163">
        <v>4</v>
      </c>
      <c r="H5" s="163">
        <v>-1882</v>
      </c>
      <c r="I5" s="163">
        <v>0</v>
      </c>
    </row>
    <row r="6" spans="1:9" ht="12.75">
      <c r="A6" s="118" t="s">
        <v>220</v>
      </c>
      <c r="C6" s="163">
        <v>5881</v>
      </c>
      <c r="D6" s="163">
        <v>673</v>
      </c>
      <c r="E6" s="163">
        <v>929</v>
      </c>
      <c r="F6" s="163">
        <v>459</v>
      </c>
      <c r="G6" s="163">
        <v>-929</v>
      </c>
      <c r="H6" s="163">
        <v>39</v>
      </c>
      <c r="I6" s="163">
        <v>7052</v>
      </c>
    </row>
    <row r="7" spans="1:9" ht="12.75">
      <c r="A7" s="127" t="s">
        <v>285</v>
      </c>
      <c r="B7" s="64"/>
      <c r="C7" s="478">
        <v>623</v>
      </c>
      <c r="D7" s="478">
        <v>-21</v>
      </c>
      <c r="E7" s="478">
        <v>204</v>
      </c>
      <c r="F7" s="478">
        <v>50</v>
      </c>
      <c r="G7" s="478">
        <v>-204</v>
      </c>
      <c r="H7" s="478">
        <v>-27</v>
      </c>
      <c r="I7" s="478">
        <v>625</v>
      </c>
    </row>
    <row r="8" spans="3:9" ht="12.75">
      <c r="C8" s="164"/>
      <c r="D8" s="164"/>
      <c r="E8" s="164"/>
      <c r="F8" s="164"/>
      <c r="G8" s="164"/>
      <c r="H8" s="164"/>
      <c r="I8" s="164"/>
    </row>
    <row r="9" spans="1:9" ht="25.5">
      <c r="A9" s="128" t="s">
        <v>244</v>
      </c>
      <c r="B9" s="125"/>
      <c r="C9" s="131"/>
      <c r="D9" s="131"/>
      <c r="E9" s="131"/>
      <c r="F9" s="131"/>
      <c r="G9" s="131"/>
      <c r="H9" s="131"/>
      <c r="I9" s="131"/>
    </row>
    <row r="10" spans="1:9" ht="11.25" customHeight="1">
      <c r="A10" s="118" t="s">
        <v>63</v>
      </c>
      <c r="C10" s="478">
        <v>-397</v>
      </c>
      <c r="D10" s="478">
        <v>-123</v>
      </c>
      <c r="E10" s="478">
        <v>-229</v>
      </c>
      <c r="F10" s="478">
        <v>-62</v>
      </c>
      <c r="G10" s="478">
        <v>229</v>
      </c>
      <c r="H10" s="478">
        <v>10</v>
      </c>
      <c r="I10" s="478">
        <v>-572</v>
      </c>
    </row>
    <row r="11" spans="1:9" ht="18" customHeight="1">
      <c r="A11" s="330" t="s">
        <v>293</v>
      </c>
      <c r="B11" s="65"/>
      <c r="C11" s="163">
        <v>-5</v>
      </c>
      <c r="D11" s="163">
        <v>66</v>
      </c>
      <c r="E11" s="163">
        <v>0</v>
      </c>
      <c r="F11" s="163">
        <v>-70</v>
      </c>
      <c r="G11" s="163">
        <v>0</v>
      </c>
      <c r="H11" s="163">
        <v>-62</v>
      </c>
      <c r="I11" s="163">
        <v>-71</v>
      </c>
    </row>
    <row r="12" spans="1:9" ht="16.5" customHeight="1" hidden="1">
      <c r="A12" s="182" t="s">
        <v>286</v>
      </c>
      <c r="B12" s="65"/>
      <c r="C12" s="163"/>
      <c r="D12" s="163"/>
      <c r="E12" s="163"/>
      <c r="F12" s="163"/>
      <c r="G12" s="163"/>
      <c r="H12" s="163"/>
      <c r="I12" s="163"/>
    </row>
    <row r="13" spans="1:9" ht="0.75" customHeight="1" hidden="1">
      <c r="A13" s="119"/>
      <c r="B13" s="65"/>
      <c r="C13" s="163"/>
      <c r="D13" s="163"/>
      <c r="E13" s="163"/>
      <c r="F13" s="163"/>
      <c r="G13" s="163"/>
      <c r="H13" s="163"/>
      <c r="I13" s="163"/>
    </row>
    <row r="14" spans="1:9" ht="0.75" customHeight="1" hidden="1">
      <c r="A14" s="119" t="s">
        <v>268</v>
      </c>
      <c r="B14" s="65"/>
      <c r="C14" s="163"/>
      <c r="D14" s="163"/>
      <c r="E14" s="163"/>
      <c r="F14" s="163"/>
      <c r="G14" s="163"/>
      <c r="H14" s="163"/>
      <c r="I14" s="163"/>
    </row>
    <row r="15" spans="1:9" ht="10.5" customHeight="1" hidden="1">
      <c r="A15" s="119" t="s">
        <v>246</v>
      </c>
      <c r="B15" s="65"/>
      <c r="C15" s="163"/>
      <c r="D15" s="163"/>
      <c r="E15" s="163"/>
      <c r="F15" s="163"/>
      <c r="G15" s="163"/>
      <c r="H15" s="163"/>
      <c r="I15" s="163"/>
    </row>
    <row r="16" spans="3:9" ht="12.75">
      <c r="C16" s="164"/>
      <c r="D16" s="164"/>
      <c r="E16" s="164"/>
      <c r="F16" s="164"/>
      <c r="G16" s="164"/>
      <c r="H16" s="164"/>
      <c r="I16" s="164"/>
    </row>
    <row r="17" spans="3:9" ht="12.75">
      <c r="C17" s="120"/>
      <c r="D17" s="69"/>
      <c r="E17" s="69"/>
      <c r="F17" s="70" t="s">
        <v>300</v>
      </c>
      <c r="G17" s="69"/>
      <c r="H17" s="69"/>
      <c r="I17" s="69"/>
    </row>
    <row r="18" spans="1:9" ht="12.75">
      <c r="A18" s="133" t="s">
        <v>287</v>
      </c>
      <c r="B18" s="64"/>
      <c r="C18" s="163">
        <v>39342</v>
      </c>
      <c r="D18" s="163">
        <v>10811</v>
      </c>
      <c r="E18" s="163">
        <v>9701</v>
      </c>
      <c r="F18" s="478">
        <v>5636</v>
      </c>
      <c r="G18" s="478">
        <v>-9701</v>
      </c>
      <c r="H18" s="478">
        <v>-13009</v>
      </c>
      <c r="I18" s="478">
        <f aca="true" t="shared" si="0" ref="I18:I23">SUM(C18:H18)</f>
        <v>42780</v>
      </c>
    </row>
    <row r="19" spans="1:9" ht="12.75">
      <c r="A19" s="118" t="s">
        <v>223</v>
      </c>
      <c r="C19" s="163">
        <v>39342</v>
      </c>
      <c r="D19" s="163">
        <v>10811</v>
      </c>
      <c r="E19" s="163">
        <v>9701</v>
      </c>
      <c r="F19" s="478">
        <v>5636</v>
      </c>
      <c r="G19" s="478">
        <v>-9701</v>
      </c>
      <c r="H19" s="478">
        <v>-13017</v>
      </c>
      <c r="I19" s="478">
        <f t="shared" si="0"/>
        <v>42772</v>
      </c>
    </row>
    <row r="20" spans="1:9" ht="12.75" hidden="1">
      <c r="A20" s="118" t="s">
        <v>224</v>
      </c>
      <c r="C20" s="163">
        <v>0</v>
      </c>
      <c r="D20" s="163">
        <v>0</v>
      </c>
      <c r="E20" s="163">
        <v>0</v>
      </c>
      <c r="F20" s="478">
        <v>0</v>
      </c>
      <c r="G20" s="478">
        <v>0</v>
      </c>
      <c r="H20" s="478">
        <v>0</v>
      </c>
      <c r="I20" s="478">
        <f t="shared" si="0"/>
        <v>0</v>
      </c>
    </row>
    <row r="21" spans="1:9" ht="12.75">
      <c r="A21" s="118" t="s">
        <v>225</v>
      </c>
      <c r="C21" s="163">
        <v>0</v>
      </c>
      <c r="D21" s="163">
        <v>0</v>
      </c>
      <c r="E21" s="163">
        <v>0</v>
      </c>
      <c r="F21" s="478">
        <v>0</v>
      </c>
      <c r="G21" s="478">
        <v>0</v>
      </c>
      <c r="H21" s="478">
        <v>8</v>
      </c>
      <c r="I21" s="478">
        <f t="shared" si="0"/>
        <v>8</v>
      </c>
    </row>
    <row r="22" spans="1:9" ht="12.75">
      <c r="A22" s="127" t="s">
        <v>288</v>
      </c>
      <c r="B22" s="64"/>
      <c r="C22" s="163">
        <v>18616</v>
      </c>
      <c r="D22" s="163">
        <v>17569</v>
      </c>
      <c r="E22" s="163">
        <v>13232</v>
      </c>
      <c r="F22" s="478">
        <v>2278</v>
      </c>
      <c r="G22" s="478">
        <v>-13232</v>
      </c>
      <c r="H22" s="478">
        <v>-17264</v>
      </c>
      <c r="I22" s="478">
        <f t="shared" si="0"/>
        <v>21199</v>
      </c>
    </row>
    <row r="23" spans="1:9" ht="12.75">
      <c r="A23" s="118" t="s">
        <v>226</v>
      </c>
      <c r="C23" s="163">
        <v>18616</v>
      </c>
      <c r="D23" s="163">
        <v>17569</v>
      </c>
      <c r="E23" s="163">
        <v>13232</v>
      </c>
      <c r="F23" s="478">
        <v>2278</v>
      </c>
      <c r="G23" s="478">
        <v>-13232</v>
      </c>
      <c r="H23" s="478">
        <v>-17290</v>
      </c>
      <c r="I23" s="478">
        <f t="shared" si="0"/>
        <v>21173</v>
      </c>
    </row>
    <row r="24" spans="1:9" ht="12.75">
      <c r="A24" s="118" t="s">
        <v>227</v>
      </c>
      <c r="C24" s="163">
        <v>0</v>
      </c>
      <c r="D24" s="163">
        <v>0</v>
      </c>
      <c r="E24" s="163">
        <v>0</v>
      </c>
      <c r="F24" s="478">
        <v>0</v>
      </c>
      <c r="G24" s="478">
        <v>0</v>
      </c>
      <c r="H24" s="478">
        <v>26</v>
      </c>
      <c r="I24" s="478">
        <v>26</v>
      </c>
    </row>
    <row r="25" ht="12.75">
      <c r="C25" s="66"/>
    </row>
    <row r="26" spans="1:9" ht="12.75">
      <c r="A26" s="129" t="s">
        <v>249</v>
      </c>
      <c r="B26" s="64"/>
      <c r="C26" s="120"/>
      <c r="D26" s="69"/>
      <c r="E26" s="69"/>
      <c r="F26" s="69" t="s">
        <v>299</v>
      </c>
      <c r="G26" s="69"/>
      <c r="H26" s="69"/>
      <c r="I26" s="69"/>
    </row>
    <row r="27" spans="1:9" ht="12.75">
      <c r="A27" s="121" t="s">
        <v>228</v>
      </c>
      <c r="B27" s="123"/>
      <c r="C27" s="478">
        <v>590</v>
      </c>
      <c r="D27" s="478">
        <v>166</v>
      </c>
      <c r="E27" s="478">
        <v>168</v>
      </c>
      <c r="F27" s="478">
        <v>108</v>
      </c>
      <c r="G27" s="478">
        <v>-168</v>
      </c>
      <c r="H27" s="478">
        <v>116</v>
      </c>
      <c r="I27" s="478">
        <v>980</v>
      </c>
    </row>
    <row r="28" spans="1:9" ht="12.75">
      <c r="A28" s="130" t="s">
        <v>229</v>
      </c>
      <c r="B28" s="126"/>
      <c r="C28" s="131"/>
      <c r="D28" s="131"/>
      <c r="E28" s="131"/>
      <c r="F28" s="131"/>
      <c r="G28" s="131"/>
      <c r="H28" s="131"/>
      <c r="I28" s="131"/>
    </row>
    <row r="29" spans="1:9" ht="12.75">
      <c r="A29" s="118" t="s">
        <v>230</v>
      </c>
      <c r="C29" s="284">
        <v>148.5</v>
      </c>
      <c r="D29" s="284">
        <v>17.700000000000003</v>
      </c>
      <c r="E29" s="284">
        <v>21.9</v>
      </c>
      <c r="F29" s="131"/>
      <c r="G29" s="131"/>
      <c r="H29" s="131"/>
      <c r="I29" s="131"/>
    </row>
    <row r="30" spans="1:9" ht="12.75">
      <c r="A30" s="118" t="s">
        <v>181</v>
      </c>
      <c r="C30" s="284">
        <v>0</v>
      </c>
      <c r="D30" s="284">
        <v>0</v>
      </c>
      <c r="E30" s="284">
        <v>2.0999999999999996</v>
      </c>
      <c r="F30" s="131"/>
      <c r="G30" s="131"/>
      <c r="H30" s="131"/>
      <c r="I30" s="131"/>
    </row>
    <row r="31" spans="1:9" ht="12.75">
      <c r="A31" s="118" t="s">
        <v>231</v>
      </c>
      <c r="C31" s="284">
        <v>347.5000000000001</v>
      </c>
      <c r="D31" s="284">
        <v>0.6000000000000001</v>
      </c>
      <c r="E31" s="284">
        <v>7.600000000000001</v>
      </c>
      <c r="F31" s="131"/>
      <c r="G31" s="131"/>
      <c r="H31" s="131"/>
      <c r="I31" s="131"/>
    </row>
    <row r="32" spans="1:9" ht="12.75">
      <c r="A32" s="118" t="s">
        <v>232</v>
      </c>
      <c r="C32" s="284">
        <v>29.700000000000003</v>
      </c>
      <c r="D32" s="284">
        <v>11.699999999999996</v>
      </c>
      <c r="E32" s="284">
        <v>7.599999999999998</v>
      </c>
      <c r="F32" s="131"/>
      <c r="G32" s="131"/>
      <c r="H32" s="131"/>
      <c r="I32" s="131"/>
    </row>
    <row r="33" spans="1:9" ht="13.5" customHeight="1">
      <c r="A33" s="122" t="s">
        <v>289</v>
      </c>
      <c r="B33" s="134"/>
      <c r="C33" s="371" t="s">
        <v>304</v>
      </c>
      <c r="D33" s="371" t="s">
        <v>305</v>
      </c>
      <c r="E33" s="371" t="s">
        <v>306</v>
      </c>
      <c r="F33" s="132"/>
      <c r="G33" s="132"/>
      <c r="H33" s="132"/>
      <c r="I33" s="132"/>
    </row>
    <row r="34" spans="1:9" ht="12.75">
      <c r="A34" s="127" t="s">
        <v>233</v>
      </c>
      <c r="B34" s="64"/>
      <c r="C34" s="165">
        <v>1406</v>
      </c>
      <c r="D34" s="165">
        <v>213</v>
      </c>
      <c r="E34" s="165">
        <v>567</v>
      </c>
      <c r="F34" s="165">
        <v>19</v>
      </c>
      <c r="G34" s="165">
        <v>0</v>
      </c>
      <c r="H34" s="165">
        <v>0</v>
      </c>
      <c r="I34" s="165">
        <v>2205</v>
      </c>
    </row>
    <row r="35" spans="1:9" ht="12.75">
      <c r="A35" s="127" t="s">
        <v>234</v>
      </c>
      <c r="B35" s="64"/>
      <c r="C35" s="166">
        <f>C34/C4</f>
        <v>0.2356687898089172</v>
      </c>
      <c r="D35" s="166">
        <f>D34/D4</f>
        <v>0.31462333825701627</v>
      </c>
      <c r="E35" s="166">
        <f>E34/E4</f>
        <v>0.6129729729729729</v>
      </c>
      <c r="F35" s="166">
        <f>F34/F4</f>
        <v>0.008436944937833037</v>
      </c>
      <c r="G35" s="163">
        <v>0</v>
      </c>
      <c r="H35" s="163">
        <v>0</v>
      </c>
      <c r="I35" s="166">
        <f>I34/(E4+I4)</f>
        <v>0.27641970665663784</v>
      </c>
    </row>
    <row r="37" spans="1:9" ht="12.75">
      <c r="A37" s="484" t="s">
        <v>235</v>
      </c>
      <c r="B37" s="484"/>
      <c r="C37" s="484"/>
      <c r="D37" s="484"/>
      <c r="E37" s="484"/>
      <c r="F37" s="484"/>
      <c r="G37" s="484"/>
      <c r="H37" s="484"/>
      <c r="I37" s="484"/>
    </row>
    <row r="38" spans="1:9" ht="24.75" customHeight="1">
      <c r="A38" s="484" t="s">
        <v>247</v>
      </c>
      <c r="B38" s="484"/>
      <c r="C38" s="484"/>
      <c r="D38" s="484"/>
      <c r="E38" s="484"/>
      <c r="F38" s="484"/>
      <c r="G38" s="484"/>
      <c r="H38" s="484"/>
      <c r="I38" s="484"/>
    </row>
    <row r="39" spans="1:9" s="67" customFormat="1" ht="24.75" customHeight="1">
      <c r="A39" s="485" t="s">
        <v>302</v>
      </c>
      <c r="B39" s="485"/>
      <c r="C39" s="485"/>
      <c r="D39" s="485"/>
      <c r="E39" s="485"/>
      <c r="F39" s="485"/>
      <c r="G39" s="485"/>
      <c r="H39" s="485"/>
      <c r="I39" s="485"/>
    </row>
    <row r="40" spans="1:9" ht="12.75">
      <c r="A40" s="484" t="s">
        <v>236</v>
      </c>
      <c r="B40" s="484"/>
      <c r="C40" s="484"/>
      <c r="D40" s="484"/>
      <c r="E40" s="484"/>
      <c r="F40" s="484"/>
      <c r="G40" s="484"/>
      <c r="H40" s="484"/>
      <c r="I40" s="484"/>
    </row>
    <row r="43" spans="1:9" ht="15">
      <c r="A43" s="124"/>
      <c r="B43" s="124"/>
      <c r="C43" s="69"/>
      <c r="D43" s="69"/>
      <c r="E43" s="69"/>
      <c r="F43" s="69" t="s">
        <v>301</v>
      </c>
      <c r="G43" s="69"/>
      <c r="H43" s="69"/>
      <c r="I43" s="69"/>
    </row>
    <row r="44" spans="3:9" ht="26.25" customHeight="1">
      <c r="C44" s="486" t="s">
        <v>87</v>
      </c>
      <c r="D44" s="486" t="s">
        <v>237</v>
      </c>
      <c r="E44" s="486" t="s">
        <v>238</v>
      </c>
      <c r="F44" s="486" t="s">
        <v>239</v>
      </c>
      <c r="G44" s="488" t="s">
        <v>242</v>
      </c>
      <c r="H44" s="488"/>
      <c r="I44" s="486" t="s">
        <v>241</v>
      </c>
    </row>
    <row r="45" spans="1:9" ht="51">
      <c r="A45" s="117" t="s">
        <v>248</v>
      </c>
      <c r="B45" s="117"/>
      <c r="C45" s="487"/>
      <c r="D45" s="487"/>
      <c r="E45" s="487"/>
      <c r="F45" s="487"/>
      <c r="G45" s="329" t="s">
        <v>240</v>
      </c>
      <c r="H45" s="329" t="s">
        <v>243</v>
      </c>
      <c r="I45" s="487"/>
    </row>
    <row r="46" spans="1:9" ht="12.75">
      <c r="A46" s="133" t="s">
        <v>218</v>
      </c>
      <c r="B46" s="64" t="e">
        <f>suma</f>
        <v>#NAME?</v>
      </c>
      <c r="C46" s="163">
        <f>SUM(C47:C48)</f>
        <v>4633</v>
      </c>
      <c r="D46" s="163">
        <f aca="true" t="shared" si="1" ref="D46:I46">SUM(D47:D48)</f>
        <v>773</v>
      </c>
      <c r="E46" s="163">
        <f t="shared" si="1"/>
        <v>480</v>
      </c>
      <c r="F46" s="163">
        <f t="shared" si="1"/>
        <v>1973</v>
      </c>
      <c r="G46" s="163">
        <f t="shared" si="1"/>
        <v>-480</v>
      </c>
      <c r="H46" s="163">
        <f t="shared" si="1"/>
        <v>-1525</v>
      </c>
      <c r="I46" s="163">
        <f t="shared" si="1"/>
        <v>5854</v>
      </c>
    </row>
    <row r="47" spans="1:9" ht="12.75">
      <c r="A47" s="118" t="s">
        <v>219</v>
      </c>
      <c r="C47" s="163">
        <v>81</v>
      </c>
      <c r="D47" s="163">
        <v>4</v>
      </c>
      <c r="E47" s="163">
        <v>0</v>
      </c>
      <c r="F47" s="163">
        <v>1433</v>
      </c>
      <c r="G47" s="163">
        <f>-E47</f>
        <v>0</v>
      </c>
      <c r="H47" s="163">
        <v>-1518</v>
      </c>
      <c r="I47" s="163">
        <f>SUM(C47:H47)</f>
        <v>0</v>
      </c>
    </row>
    <row r="48" spans="1:9" ht="12.75">
      <c r="A48" s="118" t="s">
        <v>220</v>
      </c>
      <c r="C48" s="163">
        <v>4552</v>
      </c>
      <c r="D48" s="163">
        <v>769</v>
      </c>
      <c r="E48" s="163">
        <v>480</v>
      </c>
      <c r="F48" s="163">
        <v>540</v>
      </c>
      <c r="G48" s="163">
        <f>-E48</f>
        <v>-480</v>
      </c>
      <c r="H48" s="163">
        <v>-7</v>
      </c>
      <c r="I48" s="163">
        <f>SUM(C48:H48)</f>
        <v>5854</v>
      </c>
    </row>
    <row r="49" spans="1:9" ht="12.75">
      <c r="A49" s="127" t="s">
        <v>285</v>
      </c>
      <c r="B49" s="64"/>
      <c r="C49" s="163">
        <v>-399</v>
      </c>
      <c r="D49" s="163">
        <v>-114</v>
      </c>
      <c r="E49" s="163">
        <v>-166</v>
      </c>
      <c r="F49" s="163">
        <v>-287</v>
      </c>
      <c r="G49" s="163">
        <f>-E49</f>
        <v>166</v>
      </c>
      <c r="H49" s="163">
        <v>555</v>
      </c>
      <c r="I49" s="163">
        <f>SUM(C49:H49)</f>
        <v>-245</v>
      </c>
    </row>
    <row r="50" spans="3:9" ht="12.75">
      <c r="C50" s="164"/>
      <c r="D50" s="164"/>
      <c r="E50" s="164"/>
      <c r="F50" s="164"/>
      <c r="G50" s="164"/>
      <c r="H50" s="164"/>
      <c r="I50" s="164"/>
    </row>
    <row r="51" spans="1:9" ht="25.5">
      <c r="A51" s="128" t="s">
        <v>244</v>
      </c>
      <c r="B51" s="125"/>
      <c r="C51" s="131"/>
      <c r="D51" s="131"/>
      <c r="E51" s="131"/>
      <c r="F51" s="131"/>
      <c r="G51" s="131"/>
      <c r="H51" s="131"/>
      <c r="I51" s="131"/>
    </row>
    <row r="52" spans="1:9" ht="12.75">
      <c r="A52" s="118" t="s">
        <v>63</v>
      </c>
      <c r="C52" s="163">
        <f>-1220+893</f>
        <v>-327</v>
      </c>
      <c r="D52" s="163">
        <v>-117</v>
      </c>
      <c r="E52" s="163">
        <v>-141</v>
      </c>
      <c r="F52" s="163">
        <v>-64</v>
      </c>
      <c r="G52" s="163">
        <f>-E52</f>
        <v>141</v>
      </c>
      <c r="H52" s="163">
        <v>-54</v>
      </c>
      <c r="I52" s="163">
        <f>SUM(C52:H52)</f>
        <v>-562</v>
      </c>
    </row>
    <row r="53" spans="1:9" s="65" customFormat="1" ht="11.25" customHeight="1" hidden="1">
      <c r="A53" s="119" t="s">
        <v>221</v>
      </c>
      <c r="C53" s="163"/>
      <c r="D53" s="163"/>
      <c r="E53" s="163"/>
      <c r="F53" s="163"/>
      <c r="G53" s="163"/>
      <c r="H53" s="163"/>
      <c r="I53" s="163"/>
    </row>
    <row r="54" spans="1:9" s="65" customFormat="1" ht="15" customHeight="1" hidden="1">
      <c r="A54" s="119" t="s">
        <v>245</v>
      </c>
      <c r="C54" s="163"/>
      <c r="D54" s="163"/>
      <c r="E54" s="163"/>
      <c r="F54" s="163"/>
      <c r="G54" s="163"/>
      <c r="H54" s="163"/>
      <c r="I54" s="163"/>
    </row>
    <row r="55" spans="1:9" s="65" customFormat="1" ht="8.25" customHeight="1" hidden="1">
      <c r="A55" s="119" t="s">
        <v>222</v>
      </c>
      <c r="C55" s="163"/>
      <c r="D55" s="163"/>
      <c r="E55" s="163"/>
      <c r="F55" s="163"/>
      <c r="G55" s="163"/>
      <c r="H55" s="163"/>
      <c r="I55" s="163"/>
    </row>
    <row r="56" spans="1:9" s="65" customFormat="1" ht="11.25" customHeight="1" hidden="1">
      <c r="A56" s="119" t="s">
        <v>268</v>
      </c>
      <c r="C56" s="163">
        <v>0</v>
      </c>
      <c r="D56" s="163"/>
      <c r="E56" s="163">
        <v>0</v>
      </c>
      <c r="F56" s="163">
        <v>0</v>
      </c>
      <c r="G56" s="163">
        <v>0</v>
      </c>
      <c r="H56" s="163"/>
      <c r="I56" s="163">
        <f>SUM(C56:H56)</f>
        <v>0</v>
      </c>
    </row>
    <row r="57" spans="1:9" s="65" customFormat="1" ht="11.25" customHeight="1" hidden="1">
      <c r="A57" s="119" t="s">
        <v>246</v>
      </c>
      <c r="C57" s="163"/>
      <c r="D57" s="163"/>
      <c r="E57" s="163"/>
      <c r="F57" s="163"/>
      <c r="G57" s="163"/>
      <c r="H57" s="163"/>
      <c r="I57" s="163"/>
    </row>
    <row r="58" spans="3:9" ht="12.75">
      <c r="C58" s="164"/>
      <c r="D58" s="164"/>
      <c r="E58" s="164"/>
      <c r="F58" s="164"/>
      <c r="G58" s="164"/>
      <c r="H58" s="164"/>
      <c r="I58" s="164"/>
    </row>
    <row r="59" spans="3:9" ht="12.75">
      <c r="C59" s="120"/>
      <c r="D59" s="69"/>
      <c r="E59" s="69"/>
      <c r="F59" s="70" t="s">
        <v>279</v>
      </c>
      <c r="G59" s="69"/>
      <c r="H59" s="69"/>
      <c r="I59" s="69"/>
    </row>
    <row r="60" spans="1:9" ht="12.75">
      <c r="A60" s="133" t="s">
        <v>287</v>
      </c>
      <c r="B60" s="64"/>
      <c r="C60" s="163">
        <v>35990</v>
      </c>
      <c r="D60" s="163">
        <v>10689</v>
      </c>
      <c r="E60" s="163">
        <v>9156</v>
      </c>
      <c r="F60" s="163">
        <v>5386</v>
      </c>
      <c r="G60" s="163">
        <f aca="true" t="shared" si="2" ref="G60:G66">-E60</f>
        <v>-9156</v>
      </c>
      <c r="H60" s="163">
        <v>-12656</v>
      </c>
      <c r="I60" s="163">
        <f aca="true" t="shared" si="3" ref="I60:I66">SUM(C60:H60)</f>
        <v>39409</v>
      </c>
    </row>
    <row r="61" spans="1:9" ht="12.75">
      <c r="A61" s="118" t="s">
        <v>223</v>
      </c>
      <c r="C61" s="163">
        <v>35990</v>
      </c>
      <c r="D61" s="163">
        <v>10689</v>
      </c>
      <c r="E61" s="163">
        <v>9156</v>
      </c>
      <c r="F61" s="163">
        <v>5386</v>
      </c>
      <c r="G61" s="163">
        <f t="shared" si="2"/>
        <v>-9156</v>
      </c>
      <c r="H61" s="163">
        <v>-12665</v>
      </c>
      <c r="I61" s="163">
        <f t="shared" si="3"/>
        <v>39400</v>
      </c>
    </row>
    <row r="62" spans="1:9" ht="12.75">
      <c r="A62" s="118" t="s">
        <v>224</v>
      </c>
      <c r="C62" s="163">
        <v>0</v>
      </c>
      <c r="D62" s="163">
        <v>0</v>
      </c>
      <c r="E62" s="163">
        <v>0</v>
      </c>
      <c r="F62" s="163">
        <v>0</v>
      </c>
      <c r="G62" s="163">
        <f t="shared" si="2"/>
        <v>0</v>
      </c>
      <c r="H62" s="163">
        <v>4</v>
      </c>
      <c r="I62" s="163">
        <f t="shared" si="3"/>
        <v>4</v>
      </c>
    </row>
    <row r="63" spans="1:9" ht="12.75">
      <c r="A63" s="118" t="s">
        <v>225</v>
      </c>
      <c r="C63" s="163">
        <v>0</v>
      </c>
      <c r="D63" s="163">
        <v>0</v>
      </c>
      <c r="E63" s="163">
        <v>0</v>
      </c>
      <c r="F63" s="163">
        <v>0</v>
      </c>
      <c r="G63" s="163">
        <f t="shared" si="2"/>
        <v>0</v>
      </c>
      <c r="H63" s="163">
        <v>5</v>
      </c>
      <c r="I63" s="163">
        <f t="shared" si="3"/>
        <v>5</v>
      </c>
    </row>
    <row r="64" spans="1:9" ht="12.75">
      <c r="A64" s="127" t="s">
        <v>288</v>
      </c>
      <c r="B64" s="64"/>
      <c r="C64" s="163">
        <v>16100</v>
      </c>
      <c r="D64" s="163">
        <v>16849</v>
      </c>
      <c r="E64" s="163">
        <v>12801</v>
      </c>
      <c r="F64" s="163">
        <v>2552</v>
      </c>
      <c r="G64" s="163">
        <f t="shared" si="2"/>
        <v>-12801</v>
      </c>
      <c r="H64" s="163">
        <v>-16294</v>
      </c>
      <c r="I64" s="163">
        <f t="shared" si="3"/>
        <v>19207</v>
      </c>
    </row>
    <row r="65" spans="1:9" ht="12.75">
      <c r="A65" s="118" t="s">
        <v>226</v>
      </c>
      <c r="C65" s="163">
        <v>16100</v>
      </c>
      <c r="D65" s="163">
        <v>16849</v>
      </c>
      <c r="E65" s="163">
        <v>12801</v>
      </c>
      <c r="F65" s="163">
        <v>2552</v>
      </c>
      <c r="G65" s="163">
        <f t="shared" si="2"/>
        <v>-12801</v>
      </c>
      <c r="H65" s="163">
        <v>-16314</v>
      </c>
      <c r="I65" s="163">
        <f t="shared" si="3"/>
        <v>19187</v>
      </c>
    </row>
    <row r="66" spans="1:9" ht="12.75">
      <c r="A66" s="118" t="s">
        <v>227</v>
      </c>
      <c r="C66" s="163">
        <v>0</v>
      </c>
      <c r="D66" s="163">
        <v>0</v>
      </c>
      <c r="E66" s="163">
        <v>0</v>
      </c>
      <c r="F66" s="163">
        <v>0</v>
      </c>
      <c r="G66" s="163">
        <f t="shared" si="2"/>
        <v>0</v>
      </c>
      <c r="H66" s="163">
        <v>20</v>
      </c>
      <c r="I66" s="163">
        <f t="shared" si="3"/>
        <v>20</v>
      </c>
    </row>
    <row r="67" ht="12.75">
      <c r="C67" s="66"/>
    </row>
    <row r="68" spans="1:9" ht="12.75">
      <c r="A68" s="129" t="s">
        <v>249</v>
      </c>
      <c r="B68" s="64"/>
      <c r="C68" s="120"/>
      <c r="D68" s="69"/>
      <c r="E68" s="69"/>
      <c r="F68" s="69" t="s">
        <v>301</v>
      </c>
      <c r="G68" s="69"/>
      <c r="H68" s="69"/>
      <c r="I68" s="69"/>
    </row>
    <row r="69" spans="1:9" ht="12.75">
      <c r="A69" s="121" t="s">
        <v>228</v>
      </c>
      <c r="B69" s="123"/>
      <c r="C69" s="163">
        <v>592</v>
      </c>
      <c r="D69" s="163">
        <v>176</v>
      </c>
      <c r="E69" s="163">
        <v>166</v>
      </c>
      <c r="F69" s="163">
        <v>102</v>
      </c>
      <c r="G69" s="163">
        <f>-E69</f>
        <v>-166</v>
      </c>
      <c r="H69" s="163">
        <v>48</v>
      </c>
      <c r="I69" s="163">
        <f>SUM(C69:H69)</f>
        <v>918</v>
      </c>
    </row>
    <row r="70" spans="1:9" ht="12.75">
      <c r="A70" s="130" t="s">
        <v>229</v>
      </c>
      <c r="B70" s="126"/>
      <c r="C70" s="131"/>
      <c r="D70" s="131"/>
      <c r="E70" s="131"/>
      <c r="F70" s="131"/>
      <c r="G70" s="131"/>
      <c r="H70" s="131"/>
      <c r="I70" s="131"/>
    </row>
    <row r="71" spans="1:9" ht="12.75">
      <c r="A71" s="118" t="s">
        <v>230</v>
      </c>
      <c r="C71" s="284">
        <v>138</v>
      </c>
      <c r="D71" s="284">
        <v>19</v>
      </c>
      <c r="E71" s="284">
        <v>15.1</v>
      </c>
      <c r="F71" s="131"/>
      <c r="G71" s="131"/>
      <c r="H71" s="131"/>
      <c r="I71" s="131"/>
    </row>
    <row r="72" spans="1:9" ht="12.75">
      <c r="A72" s="118" t="s">
        <v>181</v>
      </c>
      <c r="C72" s="284">
        <v>0</v>
      </c>
      <c r="D72" s="284">
        <v>0.2</v>
      </c>
      <c r="E72" s="284">
        <v>3</v>
      </c>
      <c r="F72" s="131"/>
      <c r="G72" s="131"/>
      <c r="H72" s="131"/>
      <c r="I72" s="131"/>
    </row>
    <row r="73" spans="1:9" ht="12.75">
      <c r="A73" s="118" t="s">
        <v>231</v>
      </c>
      <c r="C73" s="284">
        <v>382.3</v>
      </c>
      <c r="D73" s="284">
        <v>0.7</v>
      </c>
      <c r="E73" s="284">
        <v>3.7</v>
      </c>
      <c r="F73" s="131"/>
      <c r="G73" s="131"/>
      <c r="H73" s="131"/>
      <c r="I73" s="131"/>
    </row>
    <row r="74" spans="1:9" ht="12.75">
      <c r="A74" s="118" t="s">
        <v>232</v>
      </c>
      <c r="C74" s="284">
        <v>32.3</v>
      </c>
      <c r="D74" s="284">
        <v>22.3</v>
      </c>
      <c r="E74" s="284">
        <v>8.4</v>
      </c>
      <c r="F74" s="131"/>
      <c r="G74" s="131"/>
      <c r="H74" s="131"/>
      <c r="I74" s="131"/>
    </row>
    <row r="75" spans="1:9" ht="12.75">
      <c r="A75" s="122" t="s">
        <v>289</v>
      </c>
      <c r="B75" s="134"/>
      <c r="C75" s="371" t="s">
        <v>307</v>
      </c>
      <c r="D75" s="372" t="s">
        <v>308</v>
      </c>
      <c r="E75" s="371" t="s">
        <v>309</v>
      </c>
      <c r="F75" s="132"/>
      <c r="G75" s="132"/>
      <c r="H75" s="132"/>
      <c r="I75" s="132"/>
    </row>
    <row r="76" spans="1:9" ht="12.75">
      <c r="A76" s="127" t="s">
        <v>233</v>
      </c>
      <c r="B76" s="64"/>
      <c r="C76" s="165">
        <v>751</v>
      </c>
      <c r="D76" s="165">
        <v>194</v>
      </c>
      <c r="E76" s="165">
        <v>138</v>
      </c>
      <c r="F76" s="165">
        <v>34</v>
      </c>
      <c r="G76" s="165">
        <v>0</v>
      </c>
      <c r="H76" s="165">
        <v>0</v>
      </c>
      <c r="I76" s="165">
        <f>SUM(C76:H76)</f>
        <v>1117</v>
      </c>
    </row>
    <row r="77" spans="1:9" ht="12.75">
      <c r="A77" s="127" t="s">
        <v>234</v>
      </c>
      <c r="B77" s="64"/>
      <c r="C77" s="166">
        <f>C76/C46</f>
        <v>0.16209799266134253</v>
      </c>
      <c r="D77" s="166">
        <f>D76/D46</f>
        <v>0.25097024579560157</v>
      </c>
      <c r="E77" s="166">
        <f>E76/E46</f>
        <v>0.2875</v>
      </c>
      <c r="F77" s="166">
        <f>F76/F46</f>
        <v>0.017232640648758235</v>
      </c>
      <c r="G77" s="163">
        <v>0</v>
      </c>
      <c r="H77" s="163">
        <v>0</v>
      </c>
      <c r="I77" s="166">
        <f>I76/(E46+I46)</f>
        <v>0.1763498579096937</v>
      </c>
    </row>
    <row r="79" spans="1:9" ht="12.75">
      <c r="A79" s="483" t="s">
        <v>235</v>
      </c>
      <c r="B79" s="483"/>
      <c r="C79" s="483"/>
      <c r="D79" s="483"/>
      <c r="E79" s="483"/>
      <c r="F79" s="483"/>
      <c r="G79" s="483"/>
      <c r="H79" s="483"/>
      <c r="I79" s="483"/>
    </row>
    <row r="80" spans="1:9" ht="24" customHeight="1">
      <c r="A80" s="483" t="s">
        <v>247</v>
      </c>
      <c r="B80" s="483"/>
      <c r="C80" s="483"/>
      <c r="D80" s="483"/>
      <c r="E80" s="483"/>
      <c r="F80" s="483"/>
      <c r="G80" s="483"/>
      <c r="H80" s="483"/>
      <c r="I80" s="483"/>
    </row>
    <row r="81" spans="1:9" ht="25.5" customHeight="1">
      <c r="A81" s="483" t="s">
        <v>303</v>
      </c>
      <c r="B81" s="483"/>
      <c r="C81" s="483"/>
      <c r="D81" s="483"/>
      <c r="E81" s="483"/>
      <c r="F81" s="483"/>
      <c r="G81" s="483"/>
      <c r="H81" s="483"/>
      <c r="I81" s="483"/>
    </row>
    <row r="82" spans="1:9" ht="12.75">
      <c r="A82" s="483" t="s">
        <v>236</v>
      </c>
      <c r="B82" s="483"/>
      <c r="C82" s="483"/>
      <c r="D82" s="483"/>
      <c r="E82" s="483"/>
      <c r="F82" s="483"/>
      <c r="G82" s="483"/>
      <c r="H82" s="483"/>
      <c r="I82" s="483"/>
    </row>
  </sheetData>
  <sheetProtection/>
  <mergeCells count="20">
    <mergeCell ref="E44:E45"/>
    <mergeCell ref="F44:F45"/>
    <mergeCell ref="G44:H44"/>
    <mergeCell ref="I44:I45"/>
    <mergeCell ref="C2:C3"/>
    <mergeCell ref="D2:D3"/>
    <mergeCell ref="E2:E3"/>
    <mergeCell ref="F2:F3"/>
    <mergeCell ref="G2:H2"/>
    <mergeCell ref="I2:I3"/>
    <mergeCell ref="A79:I79"/>
    <mergeCell ref="A80:I80"/>
    <mergeCell ref="A81:I81"/>
    <mergeCell ref="A82:I82"/>
    <mergeCell ref="A37:I37"/>
    <mergeCell ref="A38:I38"/>
    <mergeCell ref="A39:I39"/>
    <mergeCell ref="A40:I40"/>
    <mergeCell ref="C44:C45"/>
    <mergeCell ref="D44:D45"/>
  </mergeCells>
  <printOptions/>
  <pageMargins left="0.7" right="0.7" top="0.75" bottom="0.75" header="0.3" footer="0.3"/>
  <pageSetup fitToHeight="1" fitToWidth="1" horizontalDpi="600" verticalDpi="600" orientation="landscape" paperSize="8" scale="68" r:id="rId1"/>
  <ignoredErrors>
    <ignoredError sqref="C46:F46 H46" formulaRange="1"/>
    <ignoredError sqref="B4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showGridLines="0" zoomScale="120" zoomScaleNormal="120" zoomScalePageLayoutView="0" workbookViewId="0" topLeftCell="A1">
      <pane xSplit="2" ySplit="2" topLeftCell="A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28125" defaultRowHeight="12.75"/>
  <cols>
    <col min="1" max="1" width="55.421875" style="168" customWidth="1"/>
    <col min="2" max="2" width="0.9921875" style="145" customWidth="1"/>
    <col min="3" max="3" width="8.7109375" style="167" customWidth="1"/>
    <col min="4" max="4" width="0.71875" style="168" customWidth="1"/>
    <col min="5" max="8" width="7.7109375" style="168" customWidth="1"/>
    <col min="9" max="9" width="7.7109375" style="167" customWidth="1"/>
    <col min="10" max="10" width="0.71875" style="168" customWidth="1"/>
    <col min="11" max="14" width="8.7109375" style="168" customWidth="1"/>
    <col min="15" max="15" width="8.7109375" style="167" customWidth="1"/>
    <col min="16" max="16" width="0.71875" style="168" customWidth="1"/>
    <col min="17" max="20" width="7.7109375" style="168" customWidth="1"/>
    <col min="21" max="21" width="7.7109375" style="167" customWidth="1"/>
    <col min="22" max="22" width="0.71875" style="168" customWidth="1"/>
    <col min="23" max="26" width="8.28125" style="168" customWidth="1"/>
    <col min="27" max="27" width="8.28125" style="167" customWidth="1"/>
    <col min="28" max="28" width="0.71875" style="168" customWidth="1"/>
    <col min="29" max="29" width="7.7109375" style="168" customWidth="1"/>
    <col min="30" max="33" width="7.7109375" style="179" customWidth="1"/>
    <col min="34" max="34" width="8.7109375" style="179" customWidth="1"/>
    <col min="35" max="35" width="8.7109375" style="338" customWidth="1"/>
    <col min="36" max="16384" width="9.28125" style="168" customWidth="1"/>
  </cols>
  <sheetData>
    <row r="1" spans="1:2" ht="45">
      <c r="A1" s="374" t="s">
        <v>57</v>
      </c>
      <c r="B1" s="15"/>
    </row>
    <row r="2" spans="1:38" ht="15" customHeight="1">
      <c r="A2" s="1"/>
      <c r="B2" s="2"/>
      <c r="C2" s="11">
        <v>2014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58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59</v>
      </c>
      <c r="Q2" s="19" t="s">
        <v>55</v>
      </c>
      <c r="R2" s="19" t="s">
        <v>56</v>
      </c>
      <c r="S2" s="19" t="s">
        <v>60</v>
      </c>
      <c r="T2" s="19" t="s">
        <v>61</v>
      </c>
      <c r="U2" s="19">
        <v>2017</v>
      </c>
      <c r="W2" s="19" t="s">
        <v>186</v>
      </c>
      <c r="X2" s="19" t="s">
        <v>190</v>
      </c>
      <c r="Y2" s="19" t="s">
        <v>195</v>
      </c>
      <c r="Z2" s="19" t="s">
        <v>202</v>
      </c>
      <c r="AA2" s="19">
        <v>2018</v>
      </c>
      <c r="AC2" s="19" t="s">
        <v>250</v>
      </c>
      <c r="AD2" s="19" t="s">
        <v>251</v>
      </c>
      <c r="AE2" s="19" t="s">
        <v>276</v>
      </c>
      <c r="AF2" s="19" t="s">
        <v>278</v>
      </c>
      <c r="AG2" s="19">
        <v>2019</v>
      </c>
      <c r="AH2" s="19" t="s">
        <v>283</v>
      </c>
      <c r="AI2" s="339" t="s">
        <v>290</v>
      </c>
      <c r="AJ2" s="339" t="s">
        <v>294</v>
      </c>
      <c r="AK2" s="339" t="s">
        <v>297</v>
      </c>
      <c r="AL2" s="339">
        <v>2020</v>
      </c>
    </row>
    <row r="3" spans="1:38" s="297" customFormat="1" ht="12" customHeight="1">
      <c r="A3" s="73" t="s">
        <v>62</v>
      </c>
      <c r="B3" s="9"/>
      <c r="C3" s="92">
        <v>3098</v>
      </c>
      <c r="E3" s="142">
        <v>577</v>
      </c>
      <c r="F3" s="90">
        <v>1116</v>
      </c>
      <c r="G3" s="90">
        <v>147</v>
      </c>
      <c r="H3" s="90">
        <v>-6962</v>
      </c>
      <c r="I3" s="90">
        <v>-5122</v>
      </c>
      <c r="K3" s="142">
        <v>343</v>
      </c>
      <c r="L3" s="90">
        <v>340</v>
      </c>
      <c r="M3" s="90">
        <v>531</v>
      </c>
      <c r="N3" s="90">
        <v>-5015</v>
      </c>
      <c r="O3" s="90">
        <v>-3801</v>
      </c>
      <c r="Q3" s="142">
        <v>1031</v>
      </c>
      <c r="R3" s="90">
        <v>618</v>
      </c>
      <c r="S3" s="90">
        <v>787</v>
      </c>
      <c r="T3" s="90">
        <v>-137</v>
      </c>
      <c r="U3" s="90">
        <v>2299</v>
      </c>
      <c r="W3" s="142">
        <v>661</v>
      </c>
      <c r="X3" s="90">
        <v>323</v>
      </c>
      <c r="Y3" s="90">
        <v>608</v>
      </c>
      <c r="Z3" s="90">
        <v>874</v>
      </c>
      <c r="AA3" s="90">
        <v>2466</v>
      </c>
      <c r="AC3" s="92">
        <v>838</v>
      </c>
      <c r="AD3" s="242">
        <v>614</v>
      </c>
      <c r="AE3" s="242">
        <f>2424-1452</f>
        <v>972</v>
      </c>
      <c r="AF3" s="242">
        <v>-302</v>
      </c>
      <c r="AG3" s="242">
        <v>2122</v>
      </c>
      <c r="AH3" s="92">
        <v>929</v>
      </c>
      <c r="AI3" s="242">
        <v>178</v>
      </c>
      <c r="AJ3" s="242">
        <v>772</v>
      </c>
      <c r="AK3" s="348">
        <v>877</v>
      </c>
      <c r="AL3" s="348">
        <v>2756</v>
      </c>
    </row>
    <row r="4" spans="1:38" ht="12" customHeight="1">
      <c r="A4" s="71" t="s">
        <v>63</v>
      </c>
      <c r="B4" s="5"/>
      <c r="C4" s="92">
        <v>1635</v>
      </c>
      <c r="E4" s="92">
        <v>564</v>
      </c>
      <c r="F4" s="30">
        <v>380</v>
      </c>
      <c r="G4" s="30">
        <v>530</v>
      </c>
      <c r="H4" s="30">
        <v>469</v>
      </c>
      <c r="I4" s="30">
        <v>1943</v>
      </c>
      <c r="K4" s="92">
        <v>397</v>
      </c>
      <c r="L4" s="30">
        <v>413</v>
      </c>
      <c r="M4" s="30">
        <v>431</v>
      </c>
      <c r="N4" s="30">
        <v>457</v>
      </c>
      <c r="O4" s="30">
        <v>1698</v>
      </c>
      <c r="Q4" s="92">
        <v>371</v>
      </c>
      <c r="R4" s="30">
        <v>401</v>
      </c>
      <c r="S4" s="30">
        <v>383</v>
      </c>
      <c r="T4" s="30">
        <v>454</v>
      </c>
      <c r="U4" s="30">
        <v>1609</v>
      </c>
      <c r="W4" s="92">
        <v>350</v>
      </c>
      <c r="X4" s="30">
        <v>514</v>
      </c>
      <c r="Y4" s="30">
        <v>452</v>
      </c>
      <c r="Z4" s="30">
        <v>480</v>
      </c>
      <c r="AA4" s="30">
        <v>1796</v>
      </c>
      <c r="AC4" s="92">
        <v>453</v>
      </c>
      <c r="AD4" s="242">
        <v>468</v>
      </c>
      <c r="AE4" s="242">
        <f>1358-921</f>
        <v>437</v>
      </c>
      <c r="AF4" s="242">
        <v>562</v>
      </c>
      <c r="AG4" s="242">
        <v>1920</v>
      </c>
      <c r="AH4" s="92">
        <v>483</v>
      </c>
      <c r="AI4" s="242">
        <v>470</v>
      </c>
      <c r="AJ4" s="242">
        <v>438</v>
      </c>
      <c r="AK4" s="348">
        <v>572</v>
      </c>
      <c r="AL4" s="348">
        <v>1963</v>
      </c>
    </row>
    <row r="5" spans="1:38" ht="12" customHeight="1">
      <c r="A5" s="72" t="s">
        <v>268</v>
      </c>
      <c r="B5" s="5"/>
      <c r="C5" s="92">
        <v>252</v>
      </c>
      <c r="E5" s="92">
        <v>0</v>
      </c>
      <c r="F5" s="30">
        <v>1</v>
      </c>
      <c r="G5" s="30">
        <v>312</v>
      </c>
      <c r="H5" s="30">
        <v>4144</v>
      </c>
      <c r="I5" s="30">
        <v>4457</v>
      </c>
      <c r="K5" s="92">
        <v>221</v>
      </c>
      <c r="L5" s="30">
        <v>255</v>
      </c>
      <c r="M5" s="30">
        <v>351</v>
      </c>
      <c r="N5" s="30">
        <v>373</v>
      </c>
      <c r="O5" s="30">
        <v>1200</v>
      </c>
      <c r="Q5" s="92">
        <v>0</v>
      </c>
      <c r="R5" s="30">
        <v>215</v>
      </c>
      <c r="S5" s="30">
        <v>0</v>
      </c>
      <c r="T5" s="30">
        <v>259</v>
      </c>
      <c r="U5" s="30">
        <v>474</v>
      </c>
      <c r="W5" s="92">
        <v>0</v>
      </c>
      <c r="X5" s="30">
        <v>254</v>
      </c>
      <c r="Y5" s="30">
        <v>4</v>
      </c>
      <c r="Z5" s="30">
        <v>404</v>
      </c>
      <c r="AA5" s="30">
        <v>662</v>
      </c>
      <c r="AC5" s="92">
        <v>0</v>
      </c>
      <c r="AD5" s="242">
        <v>63</v>
      </c>
      <c r="AE5" s="242">
        <f>169-63</f>
        <v>106</v>
      </c>
      <c r="AF5" s="242">
        <v>269</v>
      </c>
      <c r="AG5" s="242">
        <v>438</v>
      </c>
      <c r="AH5" s="92">
        <v>0</v>
      </c>
      <c r="AI5" s="242">
        <v>210</v>
      </c>
      <c r="AJ5" s="242">
        <v>-4</v>
      </c>
      <c r="AK5" s="348">
        <v>-2</v>
      </c>
      <c r="AL5" s="348">
        <v>204</v>
      </c>
    </row>
    <row r="6" spans="1:38" ht="12" customHeight="1">
      <c r="A6" s="72" t="s">
        <v>212</v>
      </c>
      <c r="B6" s="6"/>
      <c r="C6" s="92">
        <v>15</v>
      </c>
      <c r="E6" s="92">
        <v>0</v>
      </c>
      <c r="F6" s="30">
        <v>0</v>
      </c>
      <c r="G6" s="30">
        <v>0</v>
      </c>
      <c r="H6" s="30">
        <v>671</v>
      </c>
      <c r="I6" s="30">
        <v>671</v>
      </c>
      <c r="K6" s="92">
        <v>0</v>
      </c>
      <c r="L6" s="30">
        <v>0</v>
      </c>
      <c r="M6" s="30">
        <v>0</v>
      </c>
      <c r="N6" s="30">
        <v>0</v>
      </c>
      <c r="O6" s="30">
        <v>0</v>
      </c>
      <c r="Q6" s="92">
        <v>0</v>
      </c>
      <c r="R6" s="30">
        <v>0</v>
      </c>
      <c r="S6" s="30">
        <v>0</v>
      </c>
      <c r="T6" s="30">
        <v>0</v>
      </c>
      <c r="U6" s="30">
        <v>0</v>
      </c>
      <c r="W6" s="92">
        <v>0</v>
      </c>
      <c r="X6" s="30">
        <v>0</v>
      </c>
      <c r="Y6" s="30">
        <v>0</v>
      </c>
      <c r="Z6" s="30">
        <v>0</v>
      </c>
      <c r="AA6" s="30">
        <v>0</v>
      </c>
      <c r="AC6" s="92">
        <v>0</v>
      </c>
      <c r="AD6" s="242">
        <v>0</v>
      </c>
      <c r="AE6" s="242">
        <v>0</v>
      </c>
      <c r="AF6" s="242">
        <v>0</v>
      </c>
      <c r="AG6" s="242">
        <v>0</v>
      </c>
      <c r="AH6" s="92">
        <v>0</v>
      </c>
      <c r="AI6" s="242">
        <v>0</v>
      </c>
      <c r="AJ6" s="242">
        <v>0</v>
      </c>
      <c r="AK6" s="348">
        <v>0</v>
      </c>
      <c r="AL6" s="348">
        <v>0</v>
      </c>
    </row>
    <row r="7" spans="1:38" ht="24" customHeight="1">
      <c r="A7" s="62" t="s">
        <v>282</v>
      </c>
      <c r="B7" s="7"/>
      <c r="C7" s="92">
        <v>0</v>
      </c>
      <c r="E7" s="92">
        <v>0</v>
      </c>
      <c r="F7" s="30">
        <v>0</v>
      </c>
      <c r="G7" s="30">
        <v>0</v>
      </c>
      <c r="H7" s="30">
        <v>0</v>
      </c>
      <c r="I7" s="30">
        <v>0</v>
      </c>
      <c r="K7" s="92">
        <v>0</v>
      </c>
      <c r="L7" s="30">
        <v>0</v>
      </c>
      <c r="M7" s="30">
        <v>0</v>
      </c>
      <c r="N7" s="30">
        <v>4394</v>
      </c>
      <c r="O7" s="30">
        <v>4394</v>
      </c>
      <c r="Q7" s="92">
        <v>0</v>
      </c>
      <c r="R7" s="30">
        <v>0</v>
      </c>
      <c r="S7" s="30">
        <v>0</v>
      </c>
      <c r="T7" s="30">
        <v>0</v>
      </c>
      <c r="U7" s="30">
        <v>0</v>
      </c>
      <c r="W7" s="92">
        <v>0</v>
      </c>
      <c r="X7" s="30">
        <v>0</v>
      </c>
      <c r="Y7" s="30">
        <v>0</v>
      </c>
      <c r="Z7" s="30">
        <v>-733</v>
      </c>
      <c r="AA7" s="30">
        <v>-733</v>
      </c>
      <c r="AC7" s="92">
        <v>0</v>
      </c>
      <c r="AD7" s="242">
        <v>0</v>
      </c>
      <c r="AE7" s="242">
        <v>0</v>
      </c>
      <c r="AF7" s="242">
        <v>-106</v>
      </c>
      <c r="AG7" s="242">
        <v>-106</v>
      </c>
      <c r="AH7" s="92">
        <v>0</v>
      </c>
      <c r="AI7" s="242">
        <v>0</v>
      </c>
      <c r="AJ7" s="242">
        <v>0</v>
      </c>
      <c r="AK7" s="348">
        <v>-74</v>
      </c>
      <c r="AL7" s="348">
        <v>-74</v>
      </c>
    </row>
    <row r="8" spans="1:38" ht="12" customHeight="1">
      <c r="A8" s="71" t="s">
        <v>64</v>
      </c>
      <c r="B8" s="5"/>
      <c r="C8" s="92">
        <v>-282</v>
      </c>
      <c r="E8" s="92">
        <v>-82</v>
      </c>
      <c r="F8" s="30">
        <v>-95</v>
      </c>
      <c r="G8" s="30">
        <v>-142</v>
      </c>
      <c r="H8" s="30">
        <v>-147</v>
      </c>
      <c r="I8" s="30">
        <v>-466</v>
      </c>
      <c r="K8" s="92">
        <v>-153</v>
      </c>
      <c r="L8" s="30">
        <v>-153</v>
      </c>
      <c r="M8" s="30">
        <v>-159</v>
      </c>
      <c r="N8" s="30">
        <v>-168</v>
      </c>
      <c r="O8" s="30">
        <v>-633</v>
      </c>
      <c r="Q8" s="92">
        <v>-82</v>
      </c>
      <c r="R8" s="30">
        <v>-79</v>
      </c>
      <c r="S8" s="30">
        <v>-79</v>
      </c>
      <c r="T8" s="30">
        <v>-79</v>
      </c>
      <c r="U8" s="30">
        <v>-319</v>
      </c>
      <c r="W8" s="92">
        <v>-81</v>
      </c>
      <c r="X8" s="30">
        <v>-45</v>
      </c>
      <c r="Y8" s="30">
        <v>-66</v>
      </c>
      <c r="Z8" s="30">
        <v>-65</v>
      </c>
      <c r="AA8" s="30">
        <v>-257</v>
      </c>
      <c r="AC8" s="92">
        <v>-82</v>
      </c>
      <c r="AD8" s="242">
        <v>-84</v>
      </c>
      <c r="AE8" s="242">
        <f>-255+166</f>
        <v>-89</v>
      </c>
      <c r="AF8" s="242">
        <v>-86</v>
      </c>
      <c r="AG8" s="242">
        <v>-341</v>
      </c>
      <c r="AH8" s="92">
        <v>-96</v>
      </c>
      <c r="AI8" s="242">
        <v>-97</v>
      </c>
      <c r="AJ8" s="242">
        <v>-91</v>
      </c>
      <c r="AK8" s="348">
        <v>-93</v>
      </c>
      <c r="AL8" s="348">
        <v>-377</v>
      </c>
    </row>
    <row r="9" spans="1:38" ht="12" customHeight="1">
      <c r="A9" s="71" t="s">
        <v>65</v>
      </c>
      <c r="B9" s="5"/>
      <c r="C9" s="92">
        <v>142</v>
      </c>
      <c r="E9" s="92">
        <v>53</v>
      </c>
      <c r="F9" s="30">
        <v>88</v>
      </c>
      <c r="G9" s="30">
        <v>31</v>
      </c>
      <c r="H9" s="30">
        <v>29</v>
      </c>
      <c r="I9" s="30">
        <v>201</v>
      </c>
      <c r="K9" s="92">
        <v>29</v>
      </c>
      <c r="L9" s="30">
        <v>30</v>
      </c>
      <c r="M9" s="30">
        <v>44</v>
      </c>
      <c r="N9" s="30">
        <v>49</v>
      </c>
      <c r="O9" s="30">
        <v>152</v>
      </c>
      <c r="Q9" s="92">
        <v>44</v>
      </c>
      <c r="R9" s="30">
        <v>34</v>
      </c>
      <c r="S9" s="30">
        <v>35</v>
      </c>
      <c r="T9" s="30">
        <v>35</v>
      </c>
      <c r="U9" s="30">
        <v>148</v>
      </c>
      <c r="W9" s="92">
        <v>34</v>
      </c>
      <c r="X9" s="30">
        <v>36</v>
      </c>
      <c r="Y9" s="30">
        <v>52</v>
      </c>
      <c r="Z9" s="30">
        <v>-13</v>
      </c>
      <c r="AA9" s="30">
        <v>109</v>
      </c>
      <c r="AC9" s="92">
        <v>47</v>
      </c>
      <c r="AD9" s="242">
        <v>52</v>
      </c>
      <c r="AE9" s="242">
        <f>106-99</f>
        <v>7</v>
      </c>
      <c r="AF9" s="242">
        <v>138</v>
      </c>
      <c r="AG9" s="242">
        <v>244</v>
      </c>
      <c r="AH9" s="92">
        <v>51</v>
      </c>
      <c r="AI9" s="242">
        <v>62</v>
      </c>
      <c r="AJ9" s="242">
        <v>7</v>
      </c>
      <c r="AK9" s="348">
        <v>39</v>
      </c>
      <c r="AL9" s="348">
        <v>159</v>
      </c>
    </row>
    <row r="10" spans="1:38" ht="12" customHeight="1">
      <c r="A10" s="34" t="s">
        <v>203</v>
      </c>
      <c r="B10" s="8"/>
      <c r="C10" s="92">
        <v>66</v>
      </c>
      <c r="E10" s="92">
        <v>0</v>
      </c>
      <c r="F10" s="30">
        <v>3</v>
      </c>
      <c r="G10" s="30">
        <v>211</v>
      </c>
      <c r="H10" s="30">
        <v>2756</v>
      </c>
      <c r="I10" s="30">
        <v>2970</v>
      </c>
      <c r="K10" s="92">
        <v>57</v>
      </c>
      <c r="L10" s="30">
        <v>9</v>
      </c>
      <c r="M10" s="30">
        <v>5</v>
      </c>
      <c r="N10" s="30">
        <v>1461</v>
      </c>
      <c r="O10" s="30">
        <v>1532</v>
      </c>
      <c r="Q10" s="92">
        <v>0</v>
      </c>
      <c r="R10" s="30">
        <v>1</v>
      </c>
      <c r="S10" s="30">
        <v>0</v>
      </c>
      <c r="T10" s="30">
        <v>502</v>
      </c>
      <c r="U10" s="30">
        <v>503</v>
      </c>
      <c r="W10" s="92">
        <v>10</v>
      </c>
      <c r="X10" s="30">
        <v>4</v>
      </c>
      <c r="Y10" s="30">
        <v>0</v>
      </c>
      <c r="Z10" s="30">
        <v>55</v>
      </c>
      <c r="AA10" s="30">
        <v>69</v>
      </c>
      <c r="AC10" s="92">
        <v>0</v>
      </c>
      <c r="AD10" s="242">
        <v>0</v>
      </c>
      <c r="AE10" s="242">
        <v>0</v>
      </c>
      <c r="AF10" s="242">
        <v>51</v>
      </c>
      <c r="AG10" s="242">
        <v>51</v>
      </c>
      <c r="AH10" s="92">
        <v>27</v>
      </c>
      <c r="AI10" s="242">
        <v>65</v>
      </c>
      <c r="AJ10" s="242">
        <v>2</v>
      </c>
      <c r="AK10" s="348">
        <v>145</v>
      </c>
      <c r="AL10" s="348">
        <v>239</v>
      </c>
    </row>
    <row r="11" spans="1:38" ht="12" customHeight="1">
      <c r="A11" s="71" t="s">
        <v>205</v>
      </c>
      <c r="B11" s="5"/>
      <c r="C11" s="92">
        <v>272</v>
      </c>
      <c r="E11" s="92">
        <v>240</v>
      </c>
      <c r="F11" s="30">
        <v>-446</v>
      </c>
      <c r="G11" s="30">
        <v>91</v>
      </c>
      <c r="H11" s="30">
        <v>-17</v>
      </c>
      <c r="I11" s="30">
        <v>-132</v>
      </c>
      <c r="K11" s="92">
        <v>-254</v>
      </c>
      <c r="L11" s="30">
        <v>163</v>
      </c>
      <c r="M11" s="30">
        <v>-96</v>
      </c>
      <c r="N11" s="30">
        <v>-18</v>
      </c>
      <c r="O11" s="30">
        <v>-205</v>
      </c>
      <c r="Q11" s="92">
        <v>7</v>
      </c>
      <c r="R11" s="30">
        <v>-129</v>
      </c>
      <c r="S11" s="30">
        <v>144</v>
      </c>
      <c r="T11" s="30">
        <v>297</v>
      </c>
      <c r="U11" s="30">
        <f>210-25+202-68</f>
        <v>319</v>
      </c>
      <c r="W11" s="92">
        <v>84</v>
      </c>
      <c r="X11" s="30">
        <v>13</v>
      </c>
      <c r="Y11" s="30">
        <v>19</v>
      </c>
      <c r="Z11" s="30">
        <v>33</v>
      </c>
      <c r="AA11" s="30">
        <f>-36+244-121+62</f>
        <v>149</v>
      </c>
      <c r="AC11" s="92">
        <f>-56-72-19+10</f>
        <v>-137</v>
      </c>
      <c r="AD11" s="242">
        <v>-216</v>
      </c>
      <c r="AE11" s="242">
        <f>-110-23-347+2-55-47+60+290+50</f>
        <v>-180</v>
      </c>
      <c r="AF11" s="242">
        <v>540</v>
      </c>
      <c r="AG11" s="242">
        <v>7</v>
      </c>
      <c r="AH11" s="92">
        <f>-554-47-164+238-57+1</f>
        <v>-583</v>
      </c>
      <c r="AI11" s="242">
        <v>186</v>
      </c>
      <c r="AJ11" s="242">
        <v>170</v>
      </c>
      <c r="AK11" s="348">
        <v>508</v>
      </c>
      <c r="AL11" s="348">
        <v>281</v>
      </c>
    </row>
    <row r="12" spans="1:38" s="297" customFormat="1" ht="12" customHeight="1">
      <c r="A12" s="73" t="s">
        <v>66</v>
      </c>
      <c r="B12" s="9"/>
      <c r="C12" s="92">
        <f>SUM(C4:C11)</f>
        <v>2100</v>
      </c>
      <c r="E12" s="92">
        <f>SUM(E4:E11)</f>
        <v>775</v>
      </c>
      <c r="F12" s="30">
        <f>SUM(F4:F11)</f>
        <v>-69</v>
      </c>
      <c r="G12" s="30">
        <f>SUM(G4:G11)</f>
        <v>1033</v>
      </c>
      <c r="H12" s="30">
        <f>SUM(H4:H11)</f>
        <v>7905</v>
      </c>
      <c r="I12" s="30">
        <f>SUM(I4:I11)</f>
        <v>9644</v>
      </c>
      <c r="K12" s="92">
        <f>SUM(K4:K11)</f>
        <v>297</v>
      </c>
      <c r="L12" s="30">
        <f>SUM(L4:L11)</f>
        <v>717</v>
      </c>
      <c r="M12" s="30">
        <f>SUM(M4:M11)</f>
        <v>576</v>
      </c>
      <c r="N12" s="30">
        <f>SUM(N4:N11)</f>
        <v>6548</v>
      </c>
      <c r="O12" s="30">
        <f>SUM(O4:O11)</f>
        <v>8138</v>
      </c>
      <c r="Q12" s="92">
        <f>SUM(Q4:Q11)</f>
        <v>340</v>
      </c>
      <c r="R12" s="30">
        <f>SUM(R4:R11)</f>
        <v>443</v>
      </c>
      <c r="S12" s="30">
        <f>SUM(S4:S11)</f>
        <v>483</v>
      </c>
      <c r="T12" s="30">
        <f>SUM(T4:T11)</f>
        <v>1468</v>
      </c>
      <c r="U12" s="30">
        <f>SUM(U4:U11)</f>
        <v>2734</v>
      </c>
      <c r="W12" s="92">
        <f>SUM(W4:W11)</f>
        <v>397</v>
      </c>
      <c r="X12" s="30">
        <f>SUM(X4:X11)</f>
        <v>776</v>
      </c>
      <c r="Y12" s="30">
        <f>Y4+Y5+Y6+Y7+Y8+Y9+Y10+Y11</f>
        <v>461</v>
      </c>
      <c r="Z12" s="30">
        <f>Z4+Z5+Z6+Z7+Z8+Z9+Z10+Z11</f>
        <v>161</v>
      </c>
      <c r="AA12" s="30">
        <f>AA4+AA5+AA6+AA7+AA8+AA9+AA10+AA11</f>
        <v>1795</v>
      </c>
      <c r="AC12" s="92">
        <f>AC4+AC5+AC6+AC7+AC8+AC9+AC10+AC11</f>
        <v>281</v>
      </c>
      <c r="AD12" s="242">
        <f>AD4+AD5+AD6+AD7+AD8+AD9+AD10+AD11</f>
        <v>283</v>
      </c>
      <c r="AE12" s="242">
        <f>AE4+AE5+AE6+AE7+AE8+AE9+AE10+AE11</f>
        <v>281</v>
      </c>
      <c r="AF12" s="242">
        <f>AF4+AF5+AF6+AF7+AF8+AF9+AF10+AF11</f>
        <v>1368</v>
      </c>
      <c r="AG12" s="242">
        <f>AC12+AD12+AE12+AF12</f>
        <v>2213</v>
      </c>
      <c r="AH12" s="92">
        <f>AH4+AH8+AH9+AH10+AH11</f>
        <v>-118</v>
      </c>
      <c r="AI12" s="242">
        <f>SUM(AI4:AI11)</f>
        <v>896</v>
      </c>
      <c r="AJ12" s="242">
        <f>AJ4+AJ5+AJ6+AJ7+AJ8+AJ9+AJ10+AJ11</f>
        <v>522</v>
      </c>
      <c r="AK12" s="348">
        <v>1095</v>
      </c>
      <c r="AL12" s="348">
        <v>2395</v>
      </c>
    </row>
    <row r="13" spans="1:38" ht="12" customHeight="1">
      <c r="A13" s="73" t="s">
        <v>67</v>
      </c>
      <c r="B13" s="9"/>
      <c r="C13" s="92">
        <v>-868</v>
      </c>
      <c r="E13" s="92">
        <v>-237</v>
      </c>
      <c r="F13" s="30">
        <v>-219</v>
      </c>
      <c r="G13" s="30">
        <v>-235</v>
      </c>
      <c r="H13" s="30">
        <v>-234</v>
      </c>
      <c r="I13" s="30">
        <v>-925</v>
      </c>
      <c r="K13" s="92">
        <v>-62</v>
      </c>
      <c r="L13" s="30">
        <v>-65</v>
      </c>
      <c r="M13" s="30">
        <v>-208</v>
      </c>
      <c r="N13" s="30">
        <v>-116</v>
      </c>
      <c r="O13" s="30">
        <v>-451</v>
      </c>
      <c r="Q13" s="92">
        <v>-416</v>
      </c>
      <c r="R13" s="30">
        <v>-287</v>
      </c>
      <c r="S13" s="30">
        <v>-115</v>
      </c>
      <c r="T13" s="30">
        <v>-165</v>
      </c>
      <c r="U13" s="30">
        <v>-983</v>
      </c>
      <c r="W13" s="92">
        <v>-167</v>
      </c>
      <c r="X13" s="30">
        <v>-246</v>
      </c>
      <c r="Y13" s="30">
        <v>-194</v>
      </c>
      <c r="Z13" s="30">
        <v>-195</v>
      </c>
      <c r="AA13" s="30">
        <v>-802</v>
      </c>
      <c r="AC13" s="92">
        <v>-66</v>
      </c>
      <c r="AD13" s="242">
        <v>-191</v>
      </c>
      <c r="AE13" s="242">
        <f>-334+257</f>
        <v>-77</v>
      </c>
      <c r="AF13" s="242">
        <v>-76</v>
      </c>
      <c r="AG13" s="242">
        <v>-410</v>
      </c>
      <c r="AH13" s="92">
        <v>-190</v>
      </c>
      <c r="AI13" s="242">
        <v>-196</v>
      </c>
      <c r="AJ13" s="242">
        <v>-58</v>
      </c>
      <c r="AK13" s="348">
        <v>-223</v>
      </c>
      <c r="AL13" s="348">
        <v>-667</v>
      </c>
    </row>
    <row r="14" spans="1:38" ht="12" customHeight="1">
      <c r="A14" s="73" t="s">
        <v>68</v>
      </c>
      <c r="B14" s="9"/>
      <c r="C14" s="92">
        <v>519</v>
      </c>
      <c r="E14" s="92">
        <v>93</v>
      </c>
      <c r="F14" s="30">
        <v>393</v>
      </c>
      <c r="G14" s="30">
        <v>19</v>
      </c>
      <c r="H14" s="30">
        <v>61</v>
      </c>
      <c r="I14" s="30">
        <v>566</v>
      </c>
      <c r="K14" s="92">
        <v>6</v>
      </c>
      <c r="L14" s="30">
        <v>-245</v>
      </c>
      <c r="M14" s="30">
        <v>50</v>
      </c>
      <c r="N14" s="30">
        <v>515</v>
      </c>
      <c r="O14" s="30">
        <v>326</v>
      </c>
      <c r="Q14" s="92">
        <v>-497</v>
      </c>
      <c r="R14" s="30">
        <v>-40</v>
      </c>
      <c r="S14" s="30">
        <v>-609</v>
      </c>
      <c r="T14" s="30">
        <v>150</v>
      </c>
      <c r="U14" s="30">
        <v>-996</v>
      </c>
      <c r="W14" s="92">
        <v>-902</v>
      </c>
      <c r="X14" s="30">
        <v>-138</v>
      </c>
      <c r="Y14" s="30">
        <v>243</v>
      </c>
      <c r="Z14" s="30">
        <v>1164</v>
      </c>
      <c r="AA14" s="30">
        <v>367</v>
      </c>
      <c r="AC14" s="92">
        <v>-518</v>
      </c>
      <c r="AD14" s="242">
        <v>373</v>
      </c>
      <c r="AE14" s="242">
        <f>-444+145</f>
        <v>-299</v>
      </c>
      <c r="AF14" s="242">
        <v>1567</v>
      </c>
      <c r="AG14" s="242">
        <v>1123</v>
      </c>
      <c r="AH14" s="92">
        <v>330</v>
      </c>
      <c r="AI14" s="242">
        <v>102</v>
      </c>
      <c r="AJ14" s="242">
        <v>87</v>
      </c>
      <c r="AK14" s="348">
        <v>653</v>
      </c>
      <c r="AL14" s="348">
        <v>1172</v>
      </c>
    </row>
    <row r="15" spans="1:38" ht="12" customHeight="1">
      <c r="A15" s="74" t="s">
        <v>69</v>
      </c>
      <c r="B15" s="10"/>
      <c r="C15" s="88">
        <f>C3+C12+C13+C14</f>
        <v>4849</v>
      </c>
      <c r="E15" s="88">
        <f>E3+E12+E13+E14</f>
        <v>1208</v>
      </c>
      <c r="F15" s="25">
        <f>F3+F12+F13+F14</f>
        <v>1221</v>
      </c>
      <c r="G15" s="25">
        <f>G3+G12+G13+G14</f>
        <v>964</v>
      </c>
      <c r="H15" s="25">
        <f>H3+H12+H13+H14</f>
        <v>770</v>
      </c>
      <c r="I15" s="25">
        <f>I3+I12+I13+I14</f>
        <v>4163</v>
      </c>
      <c r="K15" s="88">
        <f>K3+K12+K13+K14</f>
        <v>584</v>
      </c>
      <c r="L15" s="25">
        <f>L3+L12+L13+L14</f>
        <v>747</v>
      </c>
      <c r="M15" s="25">
        <f>M3+M12+M13+M14</f>
        <v>949</v>
      </c>
      <c r="N15" s="25">
        <f>N3+N12+N13+N14</f>
        <v>1932</v>
      </c>
      <c r="O15" s="25">
        <f>O3+O12+O13+O14</f>
        <v>4212</v>
      </c>
      <c r="Q15" s="88">
        <f>Q3+Q12+Q13+Q14</f>
        <v>458</v>
      </c>
      <c r="R15" s="25">
        <f>R3+R12+R13+R14</f>
        <v>734</v>
      </c>
      <c r="S15" s="25">
        <f>S3+S12+S13+S14</f>
        <v>546</v>
      </c>
      <c r="T15" s="25">
        <f>T3+T12+T13+T14</f>
        <v>1316</v>
      </c>
      <c r="U15" s="25">
        <f>U3+U12+U13+U14</f>
        <v>3054</v>
      </c>
      <c r="W15" s="88">
        <f>W3+W12+W13+W14</f>
        <v>-11</v>
      </c>
      <c r="X15" s="25">
        <f>X3+X12+X13+X14</f>
        <v>715</v>
      </c>
      <c r="Y15" s="25">
        <f>Y3+Y12+Y13+Y14</f>
        <v>1118</v>
      </c>
      <c r="Z15" s="25">
        <f>Z3+Z12+Z13+Z14</f>
        <v>2004</v>
      </c>
      <c r="AA15" s="25">
        <f>AA3+AA12+AA13+AA14</f>
        <v>3826</v>
      </c>
      <c r="AC15" s="88">
        <f>AC3+AC12+AC13+AC14</f>
        <v>535</v>
      </c>
      <c r="AD15" s="289">
        <f>AD13+AD14+AD12+AD3</f>
        <v>1079</v>
      </c>
      <c r="AE15" s="289">
        <f>AE13+AE14+AE12+AE3</f>
        <v>877</v>
      </c>
      <c r="AF15" s="289">
        <f>AF14+AF13+AF12+AF3</f>
        <v>2557</v>
      </c>
      <c r="AG15" s="289">
        <f aca="true" t="shared" si="0" ref="AG15:AL15">AG3+AG12+AG13+AG14</f>
        <v>5048</v>
      </c>
      <c r="AH15" s="88">
        <f t="shared" si="0"/>
        <v>951</v>
      </c>
      <c r="AI15" s="289">
        <f t="shared" si="0"/>
        <v>980</v>
      </c>
      <c r="AJ15" s="289">
        <f t="shared" si="0"/>
        <v>1323</v>
      </c>
      <c r="AK15" s="349">
        <f t="shared" si="0"/>
        <v>2402</v>
      </c>
      <c r="AL15" s="349">
        <f t="shared" si="0"/>
        <v>5656</v>
      </c>
    </row>
    <row r="16" spans="1:38" ht="12" customHeight="1">
      <c r="A16" s="4"/>
      <c r="B16" s="4"/>
      <c r="C16" s="141"/>
      <c r="D16" s="145"/>
      <c r="E16" s="141"/>
      <c r="F16" s="140"/>
      <c r="G16" s="140"/>
      <c r="H16" s="140"/>
      <c r="I16" s="140"/>
      <c r="J16" s="145"/>
      <c r="K16" s="141"/>
      <c r="L16" s="140"/>
      <c r="M16" s="140"/>
      <c r="N16" s="140"/>
      <c r="O16" s="140"/>
      <c r="P16" s="145"/>
      <c r="Q16" s="141"/>
      <c r="R16" s="140"/>
      <c r="S16" s="140"/>
      <c r="T16" s="140"/>
      <c r="U16" s="140"/>
      <c r="V16" s="145"/>
      <c r="W16" s="141"/>
      <c r="X16" s="140"/>
      <c r="Y16" s="140"/>
      <c r="Z16" s="140"/>
      <c r="AA16" s="140"/>
      <c r="AB16" s="145"/>
      <c r="AC16" s="141"/>
      <c r="AD16" s="185"/>
      <c r="AE16" s="308"/>
      <c r="AF16" s="308"/>
      <c r="AG16" s="314"/>
      <c r="AH16" s="141"/>
      <c r="AI16" s="314"/>
      <c r="AJ16" s="314"/>
      <c r="AK16" s="314"/>
      <c r="AL16" s="314"/>
    </row>
    <row r="17" spans="1:38" ht="12" customHeight="1">
      <c r="A17" s="75" t="s">
        <v>70</v>
      </c>
      <c r="B17" s="5"/>
      <c r="C17" s="142">
        <v>-3112</v>
      </c>
      <c r="E17" s="142">
        <v>-801</v>
      </c>
      <c r="F17" s="90">
        <v>-803</v>
      </c>
      <c r="G17" s="90">
        <v>-897</v>
      </c>
      <c r="H17" s="90">
        <v>-1052</v>
      </c>
      <c r="I17" s="90">
        <v>-3553</v>
      </c>
      <c r="K17" s="142">
        <v>-878</v>
      </c>
      <c r="L17" s="90">
        <v>-802</v>
      </c>
      <c r="M17" s="90">
        <v>-640</v>
      </c>
      <c r="N17" s="90">
        <v>-712</v>
      </c>
      <c r="O17" s="90">
        <v>-3032</v>
      </c>
      <c r="Q17" s="142">
        <v>-562</v>
      </c>
      <c r="R17" s="90">
        <v>-549</v>
      </c>
      <c r="S17" s="90">
        <v>-532</v>
      </c>
      <c r="T17" s="90">
        <v>-884</v>
      </c>
      <c r="U17" s="90">
        <v>-2527</v>
      </c>
      <c r="W17" s="142">
        <v>-601</v>
      </c>
      <c r="X17" s="90">
        <v>-552</v>
      </c>
      <c r="Y17" s="90">
        <v>-591</v>
      </c>
      <c r="Z17" s="90">
        <v>-865</v>
      </c>
      <c r="AA17" s="90">
        <v>-2609</v>
      </c>
      <c r="AC17" s="142">
        <v>-725</v>
      </c>
      <c r="AD17" s="296">
        <v>-691</v>
      </c>
      <c r="AE17" s="296">
        <f>-2065+1416</f>
        <v>-649</v>
      </c>
      <c r="AF17" s="296">
        <v>-807</v>
      </c>
      <c r="AG17" s="296">
        <v>-2872</v>
      </c>
      <c r="AH17" s="142">
        <v>-823</v>
      </c>
      <c r="AI17" s="296">
        <v>-566</v>
      </c>
      <c r="AJ17" s="296">
        <v>-810</v>
      </c>
      <c r="AK17" s="282">
        <v>-861</v>
      </c>
      <c r="AL17" s="361">
        <v>-3060</v>
      </c>
    </row>
    <row r="18" spans="1:38" ht="12" customHeight="1">
      <c r="A18" s="71" t="s">
        <v>71</v>
      </c>
      <c r="B18" s="5"/>
      <c r="C18" s="92">
        <v>-322</v>
      </c>
      <c r="E18" s="92">
        <v>-89</v>
      </c>
      <c r="F18" s="30">
        <v>-54</v>
      </c>
      <c r="G18" s="30">
        <v>-77</v>
      </c>
      <c r="H18" s="30">
        <v>-166</v>
      </c>
      <c r="I18" s="30">
        <v>-386</v>
      </c>
      <c r="K18" s="92">
        <v>-92</v>
      </c>
      <c r="L18" s="30">
        <v>-14</v>
      </c>
      <c r="M18" s="30">
        <v>-57</v>
      </c>
      <c r="N18" s="30">
        <v>-56</v>
      </c>
      <c r="O18" s="30">
        <v>-219</v>
      </c>
      <c r="Q18" s="92">
        <v>-53</v>
      </c>
      <c r="R18" s="30">
        <v>-44</v>
      </c>
      <c r="S18" s="30">
        <v>-64</v>
      </c>
      <c r="T18" s="30">
        <v>-108</v>
      </c>
      <c r="U18" s="30">
        <v>-269</v>
      </c>
      <c r="W18" s="92">
        <v>-74</v>
      </c>
      <c r="X18" s="30">
        <v>-47</v>
      </c>
      <c r="Y18" s="30">
        <v>-53</v>
      </c>
      <c r="Z18" s="30">
        <v>-92</v>
      </c>
      <c r="AA18" s="30">
        <v>-266</v>
      </c>
      <c r="AC18" s="92">
        <v>-130</v>
      </c>
      <c r="AD18" s="242">
        <v>-58</v>
      </c>
      <c r="AE18" s="242">
        <f>-249+188</f>
        <v>-61</v>
      </c>
      <c r="AF18" s="242">
        <v>-111</v>
      </c>
      <c r="AG18" s="242">
        <v>-360</v>
      </c>
      <c r="AH18" s="92">
        <v>-140</v>
      </c>
      <c r="AI18" s="242">
        <v>-52</v>
      </c>
      <c r="AJ18" s="296">
        <v>-96</v>
      </c>
      <c r="AK18" s="348">
        <v>-109</v>
      </c>
      <c r="AL18" s="348">
        <v>-397</v>
      </c>
    </row>
    <row r="19" spans="1:38" ht="12" customHeight="1">
      <c r="A19" s="71" t="s">
        <v>72</v>
      </c>
      <c r="B19" s="5"/>
      <c r="C19" s="92">
        <v>-1628</v>
      </c>
      <c r="E19" s="92">
        <v>0</v>
      </c>
      <c r="F19" s="30">
        <v>0</v>
      </c>
      <c r="G19" s="30">
        <v>0</v>
      </c>
      <c r="H19" s="30">
        <v>0</v>
      </c>
      <c r="I19" s="30">
        <v>0</v>
      </c>
      <c r="K19" s="92">
        <v>0</v>
      </c>
      <c r="L19" s="30">
        <v>0</v>
      </c>
      <c r="M19" s="30">
        <v>0</v>
      </c>
      <c r="N19" s="30">
        <v>0</v>
      </c>
      <c r="O19" s="30">
        <v>0</v>
      </c>
      <c r="Q19" s="92">
        <v>0</v>
      </c>
      <c r="R19" s="30">
        <v>0</v>
      </c>
      <c r="S19" s="30">
        <v>0</v>
      </c>
      <c r="T19" s="30">
        <v>0</v>
      </c>
      <c r="U19" s="30">
        <v>0</v>
      </c>
      <c r="W19" s="92">
        <v>0</v>
      </c>
      <c r="X19" s="30">
        <v>0</v>
      </c>
      <c r="Y19" s="30">
        <v>0</v>
      </c>
      <c r="Z19" s="30">
        <v>0</v>
      </c>
      <c r="AA19" s="30">
        <v>0</v>
      </c>
      <c r="AC19" s="92">
        <v>0</v>
      </c>
      <c r="AD19" s="242">
        <v>0</v>
      </c>
      <c r="AE19" s="242">
        <v>0</v>
      </c>
      <c r="AF19" s="242">
        <v>0</v>
      </c>
      <c r="AG19" s="242">
        <v>0</v>
      </c>
      <c r="AH19" s="92">
        <v>0</v>
      </c>
      <c r="AI19" s="242">
        <v>0</v>
      </c>
      <c r="AJ19" s="242">
        <v>0</v>
      </c>
      <c r="AK19" s="348">
        <v>0</v>
      </c>
      <c r="AL19" s="348">
        <v>0</v>
      </c>
    </row>
    <row r="20" spans="1:38" ht="12" customHeight="1">
      <c r="A20" s="71" t="s">
        <v>73</v>
      </c>
      <c r="B20" s="5"/>
      <c r="C20" s="92">
        <v>-502</v>
      </c>
      <c r="E20" s="92">
        <v>-206</v>
      </c>
      <c r="F20" s="30">
        <v>-163</v>
      </c>
      <c r="G20" s="30">
        <v>-239</v>
      </c>
      <c r="H20" s="30">
        <v>-320</v>
      </c>
      <c r="I20" s="30">
        <v>-928</v>
      </c>
      <c r="K20" s="92">
        <v>-173</v>
      </c>
      <c r="L20" s="30">
        <v>-65</v>
      </c>
      <c r="M20" s="30">
        <v>-97</v>
      </c>
      <c r="N20" s="30">
        <v>-336</v>
      </c>
      <c r="O20" s="30">
        <v>-671</v>
      </c>
      <c r="Q20" s="92">
        <v>0</v>
      </c>
      <c r="R20" s="30">
        <v>-206</v>
      </c>
      <c r="S20" s="30">
        <v>0</v>
      </c>
      <c r="T20" s="30">
        <v>-255</v>
      </c>
      <c r="U20" s="30">
        <v>-461</v>
      </c>
      <c r="W20" s="92">
        <v>0</v>
      </c>
      <c r="X20" s="30">
        <v>-262</v>
      </c>
      <c r="Y20" s="30">
        <v>0</v>
      </c>
      <c r="Z20" s="30">
        <v>-404</v>
      </c>
      <c r="AA20" s="30">
        <v>-666</v>
      </c>
      <c r="AC20" s="92">
        <v>0</v>
      </c>
      <c r="AD20" s="242">
        <v>-63</v>
      </c>
      <c r="AE20" s="242">
        <f>-172+63</f>
        <v>-109</v>
      </c>
      <c r="AF20" s="242">
        <v>-267</v>
      </c>
      <c r="AG20" s="242">
        <v>-439</v>
      </c>
      <c r="AH20" s="92">
        <v>0</v>
      </c>
      <c r="AI20" s="242">
        <v>-207</v>
      </c>
      <c r="AJ20" s="242">
        <v>0</v>
      </c>
      <c r="AK20" s="348">
        <v>0</v>
      </c>
      <c r="AL20" s="348">
        <v>-207</v>
      </c>
    </row>
    <row r="21" spans="1:38" ht="12" customHeight="1">
      <c r="A21" s="71" t="s">
        <v>74</v>
      </c>
      <c r="B21" s="5"/>
      <c r="C21" s="92">
        <v>20</v>
      </c>
      <c r="D21" s="168">
        <v>-61</v>
      </c>
      <c r="E21" s="92">
        <v>-15</v>
      </c>
      <c r="F21" s="30">
        <v>-43</v>
      </c>
      <c r="G21" s="30">
        <v>10</v>
      </c>
      <c r="H21" s="30">
        <v>9</v>
      </c>
      <c r="I21" s="30">
        <v>-39</v>
      </c>
      <c r="K21" s="92">
        <v>-35</v>
      </c>
      <c r="L21" s="30">
        <v>8</v>
      </c>
      <c r="M21" s="30">
        <v>-13</v>
      </c>
      <c r="N21" s="30">
        <v>14</v>
      </c>
      <c r="O21" s="30">
        <v>-26</v>
      </c>
      <c r="Q21" s="92">
        <v>-35</v>
      </c>
      <c r="R21" s="30">
        <v>2</v>
      </c>
      <c r="S21" s="30">
        <v>-33</v>
      </c>
      <c r="T21" s="30">
        <v>-17</v>
      </c>
      <c r="U21" s="30">
        <f>-123+40</f>
        <v>-83</v>
      </c>
      <c r="W21" s="92">
        <v>-3</v>
      </c>
      <c r="X21" s="30">
        <v>26</v>
      </c>
      <c r="Y21" s="30">
        <v>-14</v>
      </c>
      <c r="Z21" s="30">
        <v>-7</v>
      </c>
      <c r="AA21" s="30">
        <f>-83+85</f>
        <v>2</v>
      </c>
      <c r="AC21" s="92">
        <f>-96+74</f>
        <v>-22</v>
      </c>
      <c r="AD21" s="242">
        <v>-7</v>
      </c>
      <c r="AE21" s="242">
        <f>-292+292+268-268-8+21-16</f>
        <v>-3</v>
      </c>
      <c r="AF21" s="242">
        <v>60</v>
      </c>
      <c r="AG21" s="242">
        <v>28</v>
      </c>
      <c r="AH21" s="92">
        <f>-22+1+1</f>
        <v>-20</v>
      </c>
      <c r="AI21" s="242">
        <v>-17</v>
      </c>
      <c r="AJ21" s="242">
        <v>56</v>
      </c>
      <c r="AK21" s="348">
        <v>-16</v>
      </c>
      <c r="AL21" s="348">
        <v>3</v>
      </c>
    </row>
    <row r="22" spans="1:38" ht="12" customHeight="1">
      <c r="A22" s="74" t="s">
        <v>75</v>
      </c>
      <c r="B22" s="10"/>
      <c r="C22" s="88">
        <f>SUM(C17:C21)</f>
        <v>-5544</v>
      </c>
      <c r="E22" s="88">
        <f>SUM(E17:E21)</f>
        <v>-1111</v>
      </c>
      <c r="F22" s="25">
        <f>SUM(F17:F21)</f>
        <v>-1063</v>
      </c>
      <c r="G22" s="25">
        <f>SUM(G17:G21)</f>
        <v>-1203</v>
      </c>
      <c r="H22" s="25">
        <f>SUM(H17:H21)</f>
        <v>-1529</v>
      </c>
      <c r="I22" s="25">
        <f>SUM(I17:I21)</f>
        <v>-4906</v>
      </c>
      <c r="K22" s="88">
        <f>SUM(K17:K21)</f>
        <v>-1178</v>
      </c>
      <c r="L22" s="25">
        <f>SUM(L17:L21)</f>
        <v>-873</v>
      </c>
      <c r="M22" s="25">
        <f>SUM(M17:M21)</f>
        <v>-807</v>
      </c>
      <c r="N22" s="25">
        <f>SUM(N17:N21)</f>
        <v>-1090</v>
      </c>
      <c r="O22" s="25">
        <f>SUM(O17:O21)</f>
        <v>-3948</v>
      </c>
      <c r="Q22" s="88">
        <f>SUM(Q17:Q21)</f>
        <v>-650</v>
      </c>
      <c r="R22" s="25">
        <f>SUM(R17:R21)</f>
        <v>-797</v>
      </c>
      <c r="S22" s="25">
        <f>SUM(S17:S21)</f>
        <v>-629</v>
      </c>
      <c r="T22" s="25">
        <f>SUM(T17:T21)</f>
        <v>-1264</v>
      </c>
      <c r="U22" s="25">
        <f>SUM(U17:U21)</f>
        <v>-3340</v>
      </c>
      <c r="W22" s="88">
        <f>SUM(W17:W21)</f>
        <v>-678</v>
      </c>
      <c r="X22" s="25">
        <f>SUM(X17:X21)</f>
        <v>-835</v>
      </c>
      <c r="Y22" s="25">
        <f>Y17+Y18+Y19+Y20+Y21</f>
        <v>-658</v>
      </c>
      <c r="Z22" s="25">
        <f>Z17+Z18+Z19+Z20+Z21</f>
        <v>-1368</v>
      </c>
      <c r="AA22" s="25">
        <f>AA17+AA18+AA19+AA20+AA21</f>
        <v>-3539</v>
      </c>
      <c r="AC22" s="88">
        <f aca="true" t="shared" si="1" ref="AC22:AH22">AC17+AC18+AC19+AC20+AC21</f>
        <v>-877</v>
      </c>
      <c r="AD22" s="289">
        <f t="shared" si="1"/>
        <v>-819</v>
      </c>
      <c r="AE22" s="289">
        <f t="shared" si="1"/>
        <v>-822</v>
      </c>
      <c r="AF22" s="289">
        <f t="shared" si="1"/>
        <v>-1125</v>
      </c>
      <c r="AG22" s="289">
        <f t="shared" si="1"/>
        <v>-3643</v>
      </c>
      <c r="AH22" s="88">
        <f t="shared" si="1"/>
        <v>-983</v>
      </c>
      <c r="AI22" s="289">
        <f>SUM(AI17:AI21)</f>
        <v>-842</v>
      </c>
      <c r="AJ22" s="289">
        <f>AJ17+AJ18+AJ19+AJ20+AJ21</f>
        <v>-850</v>
      </c>
      <c r="AK22" s="349">
        <v>-986</v>
      </c>
      <c r="AL22" s="349">
        <v>-3661</v>
      </c>
    </row>
    <row r="23" spans="1:38" ht="12" customHeight="1">
      <c r="A23" s="4"/>
      <c r="B23" s="4"/>
      <c r="C23" s="141"/>
      <c r="D23" s="145"/>
      <c r="E23" s="141"/>
      <c r="F23" s="140"/>
      <c r="G23" s="140"/>
      <c r="H23" s="140"/>
      <c r="I23" s="140"/>
      <c r="J23" s="145"/>
      <c r="K23" s="141"/>
      <c r="L23" s="140"/>
      <c r="M23" s="140"/>
      <c r="N23" s="140"/>
      <c r="O23" s="140"/>
      <c r="P23" s="145"/>
      <c r="Q23" s="141"/>
      <c r="R23" s="140"/>
      <c r="S23" s="140"/>
      <c r="T23" s="140"/>
      <c r="U23" s="140"/>
      <c r="V23" s="145"/>
      <c r="W23" s="141"/>
      <c r="X23" s="140"/>
      <c r="Y23" s="140"/>
      <c r="Z23" s="140"/>
      <c r="AA23" s="140"/>
      <c r="AB23" s="145"/>
      <c r="AC23" s="141"/>
      <c r="AD23" s="185"/>
      <c r="AE23" s="308"/>
      <c r="AF23" s="308"/>
      <c r="AG23" s="308"/>
      <c r="AH23" s="141"/>
      <c r="AI23" s="308"/>
      <c r="AJ23" s="308"/>
      <c r="AK23" s="360"/>
      <c r="AL23" s="360"/>
    </row>
    <row r="24" spans="1:38" ht="12" customHeight="1">
      <c r="A24" s="75" t="s">
        <v>76</v>
      </c>
      <c r="B24" s="5"/>
      <c r="C24" s="142">
        <v>2641</v>
      </c>
      <c r="E24" s="142">
        <v>1147</v>
      </c>
      <c r="F24" s="90">
        <v>2264</v>
      </c>
      <c r="G24" s="90">
        <v>670</v>
      </c>
      <c r="H24" s="90">
        <v>907</v>
      </c>
      <c r="I24" s="90">
        <v>4988</v>
      </c>
      <c r="K24" s="142">
        <v>1048</v>
      </c>
      <c r="L24" s="90">
        <v>932</v>
      </c>
      <c r="M24" s="90">
        <v>916</v>
      </c>
      <c r="N24" s="90">
        <v>370</v>
      </c>
      <c r="O24" s="90">
        <v>3266</v>
      </c>
      <c r="Q24" s="142">
        <v>762</v>
      </c>
      <c r="R24" s="90">
        <v>685</v>
      </c>
      <c r="S24" s="90">
        <v>198</v>
      </c>
      <c r="T24" s="90">
        <v>797</v>
      </c>
      <c r="U24" s="90">
        <v>2442</v>
      </c>
      <c r="W24" s="142">
        <v>1131</v>
      </c>
      <c r="X24" s="90">
        <v>934</v>
      </c>
      <c r="Y24" s="90">
        <v>0</v>
      </c>
      <c r="Z24" s="90">
        <v>211</v>
      </c>
      <c r="AA24" s="90">
        <v>2276</v>
      </c>
      <c r="AC24" s="142">
        <v>3145</v>
      </c>
      <c r="AD24" s="296">
        <v>280</v>
      </c>
      <c r="AE24" s="296">
        <f>4397-3425+5</f>
        <v>977</v>
      </c>
      <c r="AF24" s="296">
        <v>328</v>
      </c>
      <c r="AG24" s="296">
        <v>4730</v>
      </c>
      <c r="AH24" s="142">
        <v>1740</v>
      </c>
      <c r="AI24" s="296">
        <v>2417</v>
      </c>
      <c r="AJ24" s="296">
        <v>24</v>
      </c>
      <c r="AK24" s="282">
        <v>66</v>
      </c>
      <c r="AL24" s="361">
        <v>4247</v>
      </c>
    </row>
    <row r="25" spans="1:38" ht="12" customHeight="1">
      <c r="A25" s="75" t="s">
        <v>270</v>
      </c>
      <c r="B25" s="5"/>
      <c r="C25" s="142">
        <v>0</v>
      </c>
      <c r="E25" s="142">
        <v>0</v>
      </c>
      <c r="F25" s="90">
        <v>0</v>
      </c>
      <c r="G25" s="90">
        <v>0</v>
      </c>
      <c r="H25" s="90">
        <v>0</v>
      </c>
      <c r="I25" s="90">
        <v>0</v>
      </c>
      <c r="K25" s="142">
        <v>0</v>
      </c>
      <c r="L25" s="90">
        <v>0</v>
      </c>
      <c r="M25" s="90">
        <v>0</v>
      </c>
      <c r="N25" s="90">
        <v>0</v>
      </c>
      <c r="O25" s="90">
        <v>0</v>
      </c>
      <c r="Q25" s="142">
        <v>0</v>
      </c>
      <c r="R25" s="90">
        <v>0</v>
      </c>
      <c r="S25" s="90">
        <v>0</v>
      </c>
      <c r="T25" s="90">
        <v>0</v>
      </c>
      <c r="U25" s="90">
        <v>0</v>
      </c>
      <c r="W25" s="142">
        <v>0</v>
      </c>
      <c r="X25" s="90">
        <v>0</v>
      </c>
      <c r="Y25" s="90">
        <v>0</v>
      </c>
      <c r="Z25" s="90">
        <v>0</v>
      </c>
      <c r="AA25" s="90">
        <v>0</v>
      </c>
      <c r="AC25" s="142">
        <v>0</v>
      </c>
      <c r="AD25" s="296">
        <v>2000</v>
      </c>
      <c r="AE25" s="296">
        <v>0</v>
      </c>
      <c r="AF25" s="296">
        <v>0</v>
      </c>
      <c r="AG25" s="296">
        <v>2000</v>
      </c>
      <c r="AH25" s="142">
        <v>0</v>
      </c>
      <c r="AI25" s="242">
        <v>0</v>
      </c>
      <c r="AJ25" s="296">
        <v>0</v>
      </c>
      <c r="AK25" s="348"/>
      <c r="AL25" s="348"/>
    </row>
    <row r="26" spans="1:38" ht="12" customHeight="1">
      <c r="A26" s="71" t="s">
        <v>77</v>
      </c>
      <c r="B26" s="5"/>
      <c r="C26" s="92">
        <v>-1240</v>
      </c>
      <c r="E26" s="92">
        <v>-760</v>
      </c>
      <c r="F26" s="30">
        <v>-1876</v>
      </c>
      <c r="G26" s="30">
        <v>-254</v>
      </c>
      <c r="H26" s="30">
        <v>-206</v>
      </c>
      <c r="I26" s="30">
        <v>-3096</v>
      </c>
      <c r="K26" s="92">
        <v>-335</v>
      </c>
      <c r="L26" s="30">
        <v>-661</v>
      </c>
      <c r="M26" s="30">
        <v>-825</v>
      </c>
      <c r="N26" s="30">
        <v>-880</v>
      </c>
      <c r="O26" s="30">
        <v>-2701</v>
      </c>
      <c r="Q26" s="92">
        <v>-746</v>
      </c>
      <c r="R26" s="30">
        <v>-786</v>
      </c>
      <c r="S26" s="30">
        <v>-6</v>
      </c>
      <c r="T26" s="30">
        <v>-534</v>
      </c>
      <c r="U26" s="30">
        <v>-2072</v>
      </c>
      <c r="W26" s="92">
        <v>-492</v>
      </c>
      <c r="X26" s="30">
        <v>-673</v>
      </c>
      <c r="Y26" s="30">
        <v>-256</v>
      </c>
      <c r="Z26" s="30">
        <v>-689</v>
      </c>
      <c r="AA26" s="30">
        <v>-2110</v>
      </c>
      <c r="AC26" s="92">
        <v>-3075</v>
      </c>
      <c r="AD26" s="242">
        <v>-1973</v>
      </c>
      <c r="AE26" s="242">
        <f>-6382-43+5048</f>
        <v>-1377</v>
      </c>
      <c r="AF26" s="242">
        <v>-1373</v>
      </c>
      <c r="AG26" s="296">
        <v>-7798</v>
      </c>
      <c r="AH26" s="92">
        <f>-13-452</f>
        <v>-465</v>
      </c>
      <c r="AI26" s="242">
        <v>-2726</v>
      </c>
      <c r="AJ26" s="242">
        <v>-1323</v>
      </c>
      <c r="AK26" s="348">
        <v>-96</v>
      </c>
      <c r="AL26" s="348">
        <v>-4610</v>
      </c>
    </row>
    <row r="27" spans="1:38" ht="12" customHeight="1">
      <c r="A27" s="71" t="s">
        <v>78</v>
      </c>
      <c r="B27" s="5"/>
      <c r="C27" s="92">
        <v>-1000</v>
      </c>
      <c r="E27" s="92">
        <v>0</v>
      </c>
      <c r="F27" s="30">
        <v>-400</v>
      </c>
      <c r="G27" s="30">
        <v>0</v>
      </c>
      <c r="H27" s="30">
        <v>-400</v>
      </c>
      <c r="I27" s="30">
        <v>-800</v>
      </c>
      <c r="K27" s="92">
        <v>0</v>
      </c>
      <c r="L27" s="30">
        <v>0</v>
      </c>
      <c r="M27" s="30">
        <v>-150</v>
      </c>
      <c r="N27" s="30">
        <v>-150</v>
      </c>
      <c r="O27" s="30">
        <v>-300</v>
      </c>
      <c r="Q27" s="92">
        <v>0</v>
      </c>
      <c r="R27" s="30">
        <v>0</v>
      </c>
      <c r="S27" s="30">
        <v>-100</v>
      </c>
      <c r="T27" s="30">
        <v>-100</v>
      </c>
      <c r="U27" s="30">
        <v>-200</v>
      </c>
      <c r="W27" s="92">
        <v>0</v>
      </c>
      <c r="X27" s="30">
        <v>0</v>
      </c>
      <c r="Y27" s="30">
        <v>0</v>
      </c>
      <c r="Z27" s="30">
        <v>0</v>
      </c>
      <c r="AA27" s="30">
        <v>0</v>
      </c>
      <c r="AC27" s="92">
        <v>0</v>
      </c>
      <c r="AD27" s="242">
        <v>0</v>
      </c>
      <c r="AE27" s="242">
        <v>0</v>
      </c>
      <c r="AF27" s="242">
        <v>0</v>
      </c>
      <c r="AG27" s="296">
        <v>0</v>
      </c>
      <c r="AH27" s="92">
        <v>0</v>
      </c>
      <c r="AI27" s="242">
        <v>0</v>
      </c>
      <c r="AJ27" s="242">
        <v>0</v>
      </c>
      <c r="AK27" s="348"/>
      <c r="AL27" s="348"/>
    </row>
    <row r="28" spans="1:38" ht="12" customHeight="1">
      <c r="A28" s="71" t="s">
        <v>79</v>
      </c>
      <c r="B28" s="5"/>
      <c r="C28" s="92">
        <v>-136</v>
      </c>
      <c r="E28" s="92">
        <v>-17</v>
      </c>
      <c r="F28" s="30">
        <v>-162</v>
      </c>
      <c r="G28" s="30">
        <v>-29</v>
      </c>
      <c r="H28" s="30">
        <v>-24</v>
      </c>
      <c r="I28" s="30">
        <v>-232</v>
      </c>
      <c r="K28" s="92">
        <v>-28</v>
      </c>
      <c r="L28" s="30">
        <v>-27</v>
      </c>
      <c r="M28" s="30">
        <v>-43</v>
      </c>
      <c r="N28" s="30">
        <v>-46</v>
      </c>
      <c r="O28" s="30">
        <v>-144</v>
      </c>
      <c r="Q28" s="92">
        <v>-42</v>
      </c>
      <c r="R28" s="30">
        <v>-39</v>
      </c>
      <c r="S28" s="30">
        <v>-37</v>
      </c>
      <c r="T28" s="30">
        <v>-39</v>
      </c>
      <c r="U28" s="30">
        <v>-157</v>
      </c>
      <c r="W28" s="92">
        <v>-32</v>
      </c>
      <c r="X28" s="30">
        <v>-38</v>
      </c>
      <c r="Y28" s="30">
        <v>-46</v>
      </c>
      <c r="Z28" s="30">
        <v>-3</v>
      </c>
      <c r="AA28" s="30">
        <v>-119</v>
      </c>
      <c r="AC28" s="92">
        <v>-54</v>
      </c>
      <c r="AD28" s="242">
        <v>-54</v>
      </c>
      <c r="AE28" s="242">
        <f>-117+108</f>
        <v>-9</v>
      </c>
      <c r="AF28" s="242">
        <v>-122</v>
      </c>
      <c r="AG28" s="296">
        <v>-239</v>
      </c>
      <c r="AH28" s="92">
        <v>-67</v>
      </c>
      <c r="AI28" s="242">
        <v>-68</v>
      </c>
      <c r="AJ28" s="242">
        <v>-14</v>
      </c>
      <c r="AK28" s="348">
        <v>-28</v>
      </c>
      <c r="AL28" s="348">
        <v>-177</v>
      </c>
    </row>
    <row r="29" spans="1:38" ht="12" customHeight="1">
      <c r="A29" s="71" t="s">
        <v>80</v>
      </c>
      <c r="B29" s="5"/>
      <c r="C29" s="92">
        <v>-17</v>
      </c>
      <c r="E29" s="92">
        <v>7</v>
      </c>
      <c r="F29" s="30">
        <v>3</v>
      </c>
      <c r="G29" s="30">
        <v>4</v>
      </c>
      <c r="H29" s="30">
        <v>-10</v>
      </c>
      <c r="I29" s="30">
        <v>4</v>
      </c>
      <c r="K29" s="92">
        <v>-3</v>
      </c>
      <c r="L29" s="30">
        <v>12</v>
      </c>
      <c r="M29" s="30">
        <v>0</v>
      </c>
      <c r="N29" s="30">
        <v>3</v>
      </c>
      <c r="O29" s="30">
        <v>12</v>
      </c>
      <c r="Q29" s="92">
        <v>0</v>
      </c>
      <c r="R29" s="30">
        <v>2</v>
      </c>
      <c r="S29" s="30">
        <v>1</v>
      </c>
      <c r="T29" s="30">
        <v>2</v>
      </c>
      <c r="U29" s="30">
        <f>6-1</f>
        <v>5</v>
      </c>
      <c r="W29" s="92">
        <v>1</v>
      </c>
      <c r="X29" s="30">
        <v>1</v>
      </c>
      <c r="Y29" s="30">
        <v>1</v>
      </c>
      <c r="Z29" s="30">
        <v>16</v>
      </c>
      <c r="AA29" s="30">
        <v>19</v>
      </c>
      <c r="AC29" s="92">
        <f>-1+1</f>
        <v>0</v>
      </c>
      <c r="AD29" s="242">
        <v>1</v>
      </c>
      <c r="AE29" s="242">
        <f>1+1-2</f>
        <v>0</v>
      </c>
      <c r="AF29" s="242">
        <v>-2</v>
      </c>
      <c r="AG29" s="296">
        <v>-1</v>
      </c>
      <c r="AH29" s="92">
        <v>1</v>
      </c>
      <c r="AI29" s="242">
        <v>-6</v>
      </c>
      <c r="AJ29" s="242">
        <v>5</v>
      </c>
      <c r="AK29" s="348">
        <f>AL29-AJ29-AI29-AH29</f>
        <v>-8</v>
      </c>
      <c r="AL29" s="348">
        <v>-8</v>
      </c>
    </row>
    <row r="30" spans="1:38" ht="12" customHeight="1">
      <c r="A30" s="74" t="s">
        <v>81</v>
      </c>
      <c r="B30" s="10"/>
      <c r="C30" s="88">
        <f aca="true" t="shared" si="2" ref="C30:I30">SUM(C24:C29)</f>
        <v>248</v>
      </c>
      <c r="D30" s="168">
        <f t="shared" si="2"/>
        <v>0</v>
      </c>
      <c r="E30" s="88">
        <f t="shared" si="2"/>
        <v>377</v>
      </c>
      <c r="F30" s="25">
        <f t="shared" si="2"/>
        <v>-171</v>
      </c>
      <c r="G30" s="25">
        <f t="shared" si="2"/>
        <v>391</v>
      </c>
      <c r="H30" s="25">
        <f t="shared" si="2"/>
        <v>267</v>
      </c>
      <c r="I30" s="25">
        <f t="shared" si="2"/>
        <v>864</v>
      </c>
      <c r="K30" s="88">
        <f>SUM(K24:K29)</f>
        <v>682</v>
      </c>
      <c r="L30" s="25">
        <f>SUM(L24:L29)</f>
        <v>256</v>
      </c>
      <c r="M30" s="25">
        <f>SUM(M24:M29)</f>
        <v>-102</v>
      </c>
      <c r="N30" s="25">
        <f>SUM(N24:N29)</f>
        <v>-703</v>
      </c>
      <c r="O30" s="25">
        <f>SUM(O24:O29)</f>
        <v>133</v>
      </c>
      <c r="Q30" s="88">
        <f>SUM(Q24:Q29)</f>
        <v>-26</v>
      </c>
      <c r="R30" s="25">
        <f>SUM(R24:R29)</f>
        <v>-138</v>
      </c>
      <c r="S30" s="25">
        <f>SUM(S23:S29)</f>
        <v>56</v>
      </c>
      <c r="T30" s="25">
        <f>SUM(T23:T29)</f>
        <v>126</v>
      </c>
      <c r="U30" s="25">
        <f>SUM(U24:U29)</f>
        <v>18</v>
      </c>
      <c r="W30" s="88">
        <f>SUM(W24:W29)</f>
        <v>608</v>
      </c>
      <c r="X30" s="25">
        <f>SUM(X24:X29)</f>
        <v>224</v>
      </c>
      <c r="Y30" s="25">
        <f>Y24+Y26+Y27+Y28+Y29</f>
        <v>-301</v>
      </c>
      <c r="Z30" s="25">
        <f>Z24+Z26+Z27+Z28+Z29</f>
        <v>-465</v>
      </c>
      <c r="AA30" s="25">
        <f>AA24+AA26+AA27+AA28+AA29</f>
        <v>66</v>
      </c>
      <c r="AC30" s="88">
        <f>AC24+AC26+AC27+AC28+AC29</f>
        <v>16</v>
      </c>
      <c r="AD30" s="289">
        <f>AD24+AD25+AD26+AD27+AD28+AD29</f>
        <v>254</v>
      </c>
      <c r="AE30" s="289">
        <f>AE24+AE25+AE26+AE27+AE28+AE29</f>
        <v>-409</v>
      </c>
      <c r="AF30" s="289">
        <f>AF24+AF25+AF26+AF27+AF28+AF29</f>
        <v>-1169</v>
      </c>
      <c r="AG30" s="294">
        <f>AG24+AG25+AG26+AG27+AG28+AG29</f>
        <v>-1308</v>
      </c>
      <c r="AH30" s="88">
        <f>AH24+AH25+AH26+AH27+AH28+AH29</f>
        <v>1209</v>
      </c>
      <c r="AI30" s="289">
        <f>SUM(AI24:AI29)</f>
        <v>-383</v>
      </c>
      <c r="AJ30" s="289">
        <f>AJ24+AJ25+AJ26+AJ27+AJ28+AJ29</f>
        <v>-1308</v>
      </c>
      <c r="AK30" s="349">
        <v>-66</v>
      </c>
      <c r="AL30" s="349">
        <v>-548</v>
      </c>
    </row>
    <row r="31" spans="1:38" ht="12" customHeight="1">
      <c r="A31" s="10"/>
      <c r="B31" s="10"/>
      <c r="C31" s="141"/>
      <c r="D31" s="145"/>
      <c r="E31" s="141"/>
      <c r="F31" s="140"/>
      <c r="G31" s="140"/>
      <c r="H31" s="140"/>
      <c r="I31" s="140"/>
      <c r="J31" s="145"/>
      <c r="K31" s="141"/>
      <c r="L31" s="140"/>
      <c r="M31" s="140"/>
      <c r="N31" s="140"/>
      <c r="O31" s="140"/>
      <c r="P31" s="145"/>
      <c r="Q31" s="141"/>
      <c r="R31" s="140"/>
      <c r="S31" s="140"/>
      <c r="T31" s="140"/>
      <c r="U31" s="140"/>
      <c r="V31" s="145"/>
      <c r="W31" s="141"/>
      <c r="X31" s="140"/>
      <c r="Y31" s="140"/>
      <c r="Z31" s="140"/>
      <c r="AA31" s="140"/>
      <c r="AB31" s="145"/>
      <c r="AC31" s="141"/>
      <c r="AD31" s="185"/>
      <c r="AE31" s="308"/>
      <c r="AF31" s="308"/>
      <c r="AG31" s="308"/>
      <c r="AH31" s="141"/>
      <c r="AI31" s="308"/>
      <c r="AJ31" s="308"/>
      <c r="AK31" s="360"/>
      <c r="AL31" s="360"/>
    </row>
    <row r="32" spans="1:38" ht="12" customHeight="1">
      <c r="A32" s="76" t="s">
        <v>82</v>
      </c>
      <c r="B32" s="10"/>
      <c r="C32" s="144">
        <f>C15+C22+C30</f>
        <v>-447</v>
      </c>
      <c r="D32" s="169"/>
      <c r="E32" s="144">
        <f>E15+E22+E30</f>
        <v>474</v>
      </c>
      <c r="F32" s="143">
        <f>F15+F22+F30</f>
        <v>-13</v>
      </c>
      <c r="G32" s="143">
        <f>G15+G22+G30</f>
        <v>152</v>
      </c>
      <c r="H32" s="143">
        <f>H15+H22+H30</f>
        <v>-492</v>
      </c>
      <c r="I32" s="143">
        <f>I15+I22+I30</f>
        <v>121</v>
      </c>
      <c r="J32" s="169"/>
      <c r="K32" s="144">
        <f>K15+K22+K30</f>
        <v>88</v>
      </c>
      <c r="L32" s="143">
        <f>L15+L22+L30</f>
        <v>130</v>
      </c>
      <c r="M32" s="143">
        <f>M15+M22+M30</f>
        <v>40</v>
      </c>
      <c r="N32" s="143">
        <f>N15+N22+N30</f>
        <v>139</v>
      </c>
      <c r="O32" s="143">
        <f>O15+O22+O30</f>
        <v>397</v>
      </c>
      <c r="P32" s="169"/>
      <c r="Q32" s="144">
        <f>Q15+Q22+Q30</f>
        <v>-218</v>
      </c>
      <c r="R32" s="143">
        <f>R15+R22+R30</f>
        <v>-201</v>
      </c>
      <c r="S32" s="143">
        <f>S30+S22+S15</f>
        <v>-27</v>
      </c>
      <c r="T32" s="143">
        <f>T30+T22+T15</f>
        <v>178</v>
      </c>
      <c r="U32" s="143">
        <f>U15+U22+U30</f>
        <v>-268</v>
      </c>
      <c r="V32" s="169"/>
      <c r="W32" s="144">
        <f>W15+W22+W30</f>
        <v>-81</v>
      </c>
      <c r="X32" s="143">
        <f>X15+X22+X30</f>
        <v>104</v>
      </c>
      <c r="Y32" s="143">
        <f>Y30+Y22+Y15</f>
        <v>159</v>
      </c>
      <c r="Z32" s="143">
        <f>Z30+Z22+Z15</f>
        <v>171</v>
      </c>
      <c r="AA32" s="143">
        <f>AA15+AA22+AA30</f>
        <v>353</v>
      </c>
      <c r="AB32" s="169"/>
      <c r="AC32" s="144">
        <f>AC15+AC22+AC30</f>
        <v>-326</v>
      </c>
      <c r="AD32" s="294">
        <f>AD15+AD22+AD30</f>
        <v>514</v>
      </c>
      <c r="AE32" s="294">
        <f>AE15+AE22+AE30</f>
        <v>-354</v>
      </c>
      <c r="AF32" s="294">
        <f>AF15+AF22+AF30</f>
        <v>263</v>
      </c>
      <c r="AG32" s="294">
        <f>AG30+AG22+AG15</f>
        <v>97</v>
      </c>
      <c r="AH32" s="144">
        <f>AH15+AH22+AH30</f>
        <v>1177</v>
      </c>
      <c r="AI32" s="294">
        <f>AI15+AI22+AI30</f>
        <v>-245</v>
      </c>
      <c r="AJ32" s="294">
        <f>AJ15+AJ22+AJ30</f>
        <v>-835</v>
      </c>
      <c r="AK32" s="235">
        <v>1350</v>
      </c>
      <c r="AL32" s="362">
        <v>1447</v>
      </c>
    </row>
    <row r="33" spans="1:38" ht="12" customHeight="1">
      <c r="A33" s="73" t="s">
        <v>206</v>
      </c>
      <c r="B33" s="9"/>
      <c r="C33" s="92">
        <v>58</v>
      </c>
      <c r="E33" s="92">
        <v>-73</v>
      </c>
      <c r="F33" s="30">
        <v>-83</v>
      </c>
      <c r="G33" s="30">
        <v>9</v>
      </c>
      <c r="H33" s="30">
        <v>12</v>
      </c>
      <c r="I33" s="30">
        <v>-135</v>
      </c>
      <c r="K33" s="92">
        <v>40</v>
      </c>
      <c r="L33" s="30">
        <v>-21</v>
      </c>
      <c r="M33" s="30">
        <v>-7</v>
      </c>
      <c r="N33" s="30">
        <v>-10</v>
      </c>
      <c r="O33" s="30">
        <v>2</v>
      </c>
      <c r="Q33" s="92">
        <v>-18</v>
      </c>
      <c r="R33" s="30">
        <v>23</v>
      </c>
      <c r="S33" s="30">
        <v>-12</v>
      </c>
      <c r="T33" s="30">
        <v>1</v>
      </c>
      <c r="U33" s="30">
        <v>-6</v>
      </c>
      <c r="W33" s="92">
        <v>18</v>
      </c>
      <c r="X33" s="30">
        <v>-17</v>
      </c>
      <c r="Y33" s="30">
        <v>20</v>
      </c>
      <c r="Z33" s="30">
        <f>AA33-Y33-X33-W33</f>
        <v>-3</v>
      </c>
      <c r="AA33" s="30">
        <v>18</v>
      </c>
      <c r="AC33" s="142">
        <v>-41</v>
      </c>
      <c r="AD33" s="242">
        <v>2</v>
      </c>
      <c r="AE33" s="242">
        <f>-43+39</f>
        <v>-4</v>
      </c>
      <c r="AF33" s="242">
        <v>5</v>
      </c>
      <c r="AG33" s="296">
        <v>-38</v>
      </c>
      <c r="AH33" s="142">
        <v>5</v>
      </c>
      <c r="AI33" s="242">
        <v>-2</v>
      </c>
      <c r="AJ33" s="296">
        <v>3</v>
      </c>
      <c r="AK33" s="348">
        <v>53</v>
      </c>
      <c r="AL33" s="348">
        <v>59</v>
      </c>
    </row>
    <row r="34" spans="1:38" ht="12" customHeight="1">
      <c r="A34" s="73" t="s">
        <v>83</v>
      </c>
      <c r="B34" s="9"/>
      <c r="C34" s="88">
        <v>864</v>
      </c>
      <c r="E34" s="88">
        <v>475</v>
      </c>
      <c r="F34" s="25">
        <v>876</v>
      </c>
      <c r="G34" s="25">
        <v>780</v>
      </c>
      <c r="H34" s="25">
        <v>941</v>
      </c>
      <c r="I34" s="25">
        <v>475</v>
      </c>
      <c r="K34" s="88">
        <v>461</v>
      </c>
      <c r="L34" s="25">
        <v>589</v>
      </c>
      <c r="M34" s="25">
        <v>698</v>
      </c>
      <c r="N34" s="25">
        <v>731</v>
      </c>
      <c r="O34" s="25">
        <v>461</v>
      </c>
      <c r="Q34" s="88">
        <v>860</v>
      </c>
      <c r="R34" s="25">
        <v>624</v>
      </c>
      <c r="S34" s="25">
        <v>446</v>
      </c>
      <c r="T34" s="25">
        <v>407</v>
      </c>
      <c r="U34" s="25">
        <v>860</v>
      </c>
      <c r="W34" s="88">
        <v>586</v>
      </c>
      <c r="X34" s="25">
        <v>523</v>
      </c>
      <c r="Y34" s="25">
        <v>610</v>
      </c>
      <c r="Z34" s="25">
        <v>789</v>
      </c>
      <c r="AA34" s="25">
        <v>586</v>
      </c>
      <c r="AC34" s="88">
        <v>957</v>
      </c>
      <c r="AD34" s="289">
        <v>590</v>
      </c>
      <c r="AE34" s="289">
        <v>1106</v>
      </c>
      <c r="AF34" s="289">
        <v>748</v>
      </c>
      <c r="AG34" s="294">
        <v>957</v>
      </c>
      <c r="AH34" s="88">
        <v>1016</v>
      </c>
      <c r="AI34" s="289">
        <f>AH35</f>
        <v>2198</v>
      </c>
      <c r="AJ34" s="289">
        <v>1951</v>
      </c>
      <c r="AK34" s="235">
        <v>1119</v>
      </c>
      <c r="AL34" s="362">
        <v>1016</v>
      </c>
    </row>
    <row r="35" spans="1:38" ht="12" customHeight="1">
      <c r="A35" s="74" t="s">
        <v>85</v>
      </c>
      <c r="B35" s="10"/>
      <c r="C35" s="88">
        <v>475</v>
      </c>
      <c r="E35" s="88">
        <v>876</v>
      </c>
      <c r="F35" s="25">
        <v>780</v>
      </c>
      <c r="G35" s="25">
        <v>941</v>
      </c>
      <c r="H35" s="25">
        <v>461</v>
      </c>
      <c r="I35" s="25">
        <v>461</v>
      </c>
      <c r="K35" s="88">
        <v>589</v>
      </c>
      <c r="L35" s="25">
        <v>698</v>
      </c>
      <c r="M35" s="25">
        <v>731</v>
      </c>
      <c r="N35" s="25">
        <v>860</v>
      </c>
      <c r="O35" s="25">
        <v>860</v>
      </c>
      <c r="Q35" s="88">
        <v>624</v>
      </c>
      <c r="R35" s="25">
        <v>446</v>
      </c>
      <c r="S35" s="25">
        <v>407</v>
      </c>
      <c r="T35" s="25">
        <v>586</v>
      </c>
      <c r="U35" s="25">
        <v>586</v>
      </c>
      <c r="W35" s="88">
        <v>523</v>
      </c>
      <c r="X35" s="25">
        <v>610</v>
      </c>
      <c r="Y35" s="25">
        <v>789</v>
      </c>
      <c r="Z35" s="25">
        <v>957</v>
      </c>
      <c r="AA35" s="25">
        <v>957</v>
      </c>
      <c r="AC35" s="88">
        <v>590</v>
      </c>
      <c r="AD35" s="289">
        <v>1106</v>
      </c>
      <c r="AE35" s="289">
        <v>748</v>
      </c>
      <c r="AF35" s="289">
        <v>1016</v>
      </c>
      <c r="AG35" s="294">
        <v>1016</v>
      </c>
      <c r="AH35" s="88">
        <v>2198</v>
      </c>
      <c r="AI35" s="289">
        <v>1951</v>
      </c>
      <c r="AJ35" s="289">
        <v>1119</v>
      </c>
      <c r="AK35" s="349">
        <v>2522</v>
      </c>
      <c r="AL35" s="349">
        <v>2522</v>
      </c>
    </row>
    <row r="36" spans="3:38" ht="13.5">
      <c r="C36" s="146"/>
      <c r="E36" s="146"/>
      <c r="F36" s="146"/>
      <c r="G36" s="146"/>
      <c r="H36" s="146"/>
      <c r="I36" s="146"/>
      <c r="K36" s="146"/>
      <c r="L36" s="146"/>
      <c r="M36" s="146"/>
      <c r="N36" s="146"/>
      <c r="O36" s="146"/>
      <c r="Q36" s="146"/>
      <c r="R36" s="146"/>
      <c r="S36" s="146"/>
      <c r="T36" s="146"/>
      <c r="U36" s="146"/>
      <c r="W36" s="186"/>
      <c r="X36" s="186"/>
      <c r="Y36" s="186"/>
      <c r="Z36" s="186"/>
      <c r="AA36" s="186"/>
      <c r="AB36" s="186">
        <f>AB35-AB34-AB33</f>
        <v>0</v>
      </c>
      <c r="AC36" s="323"/>
      <c r="AD36" s="323"/>
      <c r="AE36" s="324"/>
      <c r="AF36" s="307"/>
      <c r="AG36" s="307"/>
      <c r="AH36" s="323"/>
      <c r="AI36" s="307"/>
      <c r="AJ36" s="307"/>
      <c r="AK36" s="360"/>
      <c r="AL36" s="360"/>
    </row>
    <row r="37" spans="1:38" ht="12.75">
      <c r="A37" s="76" t="s">
        <v>86</v>
      </c>
      <c r="C37" s="148"/>
      <c r="E37" s="170"/>
      <c r="F37" s="170"/>
      <c r="G37" s="170"/>
      <c r="H37" s="170"/>
      <c r="I37" s="171"/>
      <c r="K37" s="170"/>
      <c r="L37" s="170"/>
      <c r="M37" s="170"/>
      <c r="N37" s="170"/>
      <c r="O37" s="171"/>
      <c r="Q37" s="170"/>
      <c r="R37" s="170"/>
      <c r="S37" s="170"/>
      <c r="T37" s="170"/>
      <c r="U37" s="171"/>
      <c r="W37" s="170"/>
      <c r="X37" s="170"/>
      <c r="Y37" s="170"/>
      <c r="Z37" s="170"/>
      <c r="AA37" s="171"/>
      <c r="AC37" s="148"/>
      <c r="AD37" s="172"/>
      <c r="AE37" s="309"/>
      <c r="AF37" s="309"/>
      <c r="AG37" s="309"/>
      <c r="AH37" s="148"/>
      <c r="AI37" s="309"/>
      <c r="AJ37" s="309"/>
      <c r="AK37" s="361"/>
      <c r="AL37" s="361"/>
    </row>
    <row r="38" spans="1:38" ht="12.75">
      <c r="A38" s="77" t="s">
        <v>87</v>
      </c>
      <c r="C38" s="92">
        <v>2203</v>
      </c>
      <c r="E38" s="142">
        <v>659</v>
      </c>
      <c r="F38" s="90">
        <v>487</v>
      </c>
      <c r="G38" s="90">
        <v>596</v>
      </c>
      <c r="H38" s="90">
        <v>739</v>
      </c>
      <c r="I38" s="143">
        <v>2481</v>
      </c>
      <c r="K38" s="142">
        <v>820</v>
      </c>
      <c r="L38" s="90">
        <v>611</v>
      </c>
      <c r="M38" s="90">
        <v>576</v>
      </c>
      <c r="N38" s="90">
        <v>597</v>
      </c>
      <c r="O38" s="143">
        <v>2604</v>
      </c>
      <c r="Q38" s="142">
        <v>611</v>
      </c>
      <c r="R38" s="90">
        <v>372</v>
      </c>
      <c r="S38" s="90">
        <v>377</v>
      </c>
      <c r="T38" s="90">
        <v>631</v>
      </c>
      <c r="U38" s="143">
        <v>1991</v>
      </c>
      <c r="W38" s="142">
        <v>571</v>
      </c>
      <c r="X38" s="90">
        <v>390</v>
      </c>
      <c r="Y38" s="90">
        <v>426</v>
      </c>
      <c r="Z38" s="90">
        <v>520</v>
      </c>
      <c r="AA38" s="143">
        <v>1907</v>
      </c>
      <c r="AC38" s="92">
        <v>845</v>
      </c>
      <c r="AD38" s="242">
        <v>467</v>
      </c>
      <c r="AE38" s="242">
        <v>462</v>
      </c>
      <c r="AF38" s="242">
        <v>592</v>
      </c>
      <c r="AG38" s="242">
        <v>2366</v>
      </c>
      <c r="AH38" s="92">
        <v>744</v>
      </c>
      <c r="AI38" s="242">
        <v>464</v>
      </c>
      <c r="AJ38" s="242">
        <v>633</v>
      </c>
      <c r="AK38" s="348">
        <v>591</v>
      </c>
      <c r="AL38" s="348">
        <v>2432</v>
      </c>
    </row>
    <row r="39" spans="1:38" ht="12.75">
      <c r="A39" s="77" t="s">
        <v>88</v>
      </c>
      <c r="C39" s="92">
        <v>924</v>
      </c>
      <c r="E39" s="92">
        <v>217</v>
      </c>
      <c r="F39" s="30">
        <v>219</v>
      </c>
      <c r="G39" s="30">
        <v>253</v>
      </c>
      <c r="H39" s="30">
        <v>412</v>
      </c>
      <c r="I39" s="25">
        <v>1101</v>
      </c>
      <c r="K39" s="92">
        <v>176</v>
      </c>
      <c r="L39" s="30">
        <v>127</v>
      </c>
      <c r="M39" s="30">
        <v>67</v>
      </c>
      <c r="N39" s="30">
        <v>60</v>
      </c>
      <c r="O39" s="25">
        <v>430</v>
      </c>
      <c r="Q39" s="92">
        <v>83</v>
      </c>
      <c r="R39" s="30">
        <v>150</v>
      </c>
      <c r="S39" s="30">
        <v>135</v>
      </c>
      <c r="T39" s="30">
        <v>181</v>
      </c>
      <c r="U39" s="25">
        <v>549</v>
      </c>
      <c r="W39" s="92">
        <v>133</v>
      </c>
      <c r="X39" s="30">
        <v>164</v>
      </c>
      <c r="Y39" s="30">
        <v>147</v>
      </c>
      <c r="Z39" s="30">
        <v>176</v>
      </c>
      <c r="AA39" s="25">
        <v>620</v>
      </c>
      <c r="AC39" s="92">
        <v>132</v>
      </c>
      <c r="AD39" s="242">
        <v>180</v>
      </c>
      <c r="AE39" s="242">
        <v>166</v>
      </c>
      <c r="AF39" s="242">
        <v>176</v>
      </c>
      <c r="AG39" s="242">
        <v>654</v>
      </c>
      <c r="AH39" s="92">
        <v>192</v>
      </c>
      <c r="AI39" s="242">
        <v>104</v>
      </c>
      <c r="AJ39" s="242">
        <v>135</v>
      </c>
      <c r="AK39" s="348">
        <v>166</v>
      </c>
      <c r="AL39" s="348">
        <v>597</v>
      </c>
    </row>
    <row r="40" spans="1:38" ht="12.75">
      <c r="A40" s="77" t="s">
        <v>89</v>
      </c>
      <c r="B40" s="173"/>
      <c r="C40" s="92">
        <v>2745</v>
      </c>
      <c r="D40" s="173"/>
      <c r="E40" s="92">
        <v>443</v>
      </c>
      <c r="F40" s="30">
        <v>190</v>
      </c>
      <c r="G40" s="30">
        <v>256</v>
      </c>
      <c r="H40" s="30">
        <v>230</v>
      </c>
      <c r="I40" s="25">
        <v>1119</v>
      </c>
      <c r="J40" s="173"/>
      <c r="K40" s="92">
        <v>246</v>
      </c>
      <c r="L40" s="30">
        <v>105</v>
      </c>
      <c r="M40" s="30">
        <v>106</v>
      </c>
      <c r="N40" s="30">
        <v>129</v>
      </c>
      <c r="O40" s="25">
        <v>586</v>
      </c>
      <c r="P40" s="173"/>
      <c r="Q40" s="92">
        <v>147</v>
      </c>
      <c r="R40" s="30">
        <v>135</v>
      </c>
      <c r="S40" s="30">
        <v>100</v>
      </c>
      <c r="T40" s="30">
        <v>182</v>
      </c>
      <c r="U40" s="25">
        <v>564</v>
      </c>
      <c r="V40" s="173"/>
      <c r="W40" s="92">
        <v>139</v>
      </c>
      <c r="X40" s="30">
        <v>168</v>
      </c>
      <c r="Y40" s="30">
        <v>145</v>
      </c>
      <c r="Z40" s="30">
        <v>120</v>
      </c>
      <c r="AA40" s="25">
        <v>572</v>
      </c>
      <c r="AB40" s="173"/>
      <c r="AC40" s="92">
        <v>137</v>
      </c>
      <c r="AD40" s="242">
        <v>157</v>
      </c>
      <c r="AE40" s="242">
        <v>169</v>
      </c>
      <c r="AF40" s="242">
        <v>166</v>
      </c>
      <c r="AG40" s="242">
        <v>629</v>
      </c>
      <c r="AH40" s="92">
        <v>150</v>
      </c>
      <c r="AI40" s="242">
        <v>106</v>
      </c>
      <c r="AJ40" s="242">
        <v>120</v>
      </c>
      <c r="AK40" s="348">
        <v>168</v>
      </c>
      <c r="AL40" s="348">
        <v>544</v>
      </c>
    </row>
    <row r="41" spans="3:35" ht="12.75">
      <c r="C41" s="138"/>
      <c r="E41" s="138"/>
      <c r="F41" s="138"/>
      <c r="G41" s="138"/>
      <c r="H41" s="138"/>
      <c r="I41" s="138"/>
      <c r="K41" s="138"/>
      <c r="L41" s="138"/>
      <c r="M41" s="138"/>
      <c r="N41" s="138"/>
      <c r="O41" s="138"/>
      <c r="Q41" s="138"/>
      <c r="R41" s="138"/>
      <c r="S41" s="138"/>
      <c r="T41" s="138"/>
      <c r="U41" s="138"/>
      <c r="W41" s="138"/>
      <c r="X41" s="138"/>
      <c r="Y41" s="138"/>
      <c r="Z41" s="138"/>
      <c r="AA41" s="138"/>
      <c r="AB41" s="138"/>
      <c r="AC41" s="138"/>
      <c r="AD41" s="174"/>
      <c r="AE41" s="174"/>
      <c r="AF41" s="174"/>
      <c r="AG41" s="174"/>
      <c r="AH41" s="174"/>
      <c r="AI41" s="340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9" r:id="rId1"/>
  <ignoredErrors>
    <ignoredError sqref="AI30 AG32" formula="1"/>
    <ignoredError sqref="C12 E12:G12 H12:I12 K12:L12 M12:O12 Q12:R12 S12:T12 W12:X12 AI12" formulaRange="1"/>
    <ignoredError sqref="I2 O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5"/>
  <sheetViews>
    <sheetView showGridLines="0" zoomScale="110" zoomScaleNormal="110" zoomScalePageLayoutView="0" workbookViewId="0" topLeftCell="A1">
      <pane xSplit="3" ySplit="3" topLeftCell="AA1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B1"/>
    </sheetView>
  </sheetViews>
  <sheetFormatPr defaultColWidth="8.7109375" defaultRowHeight="12" customHeight="1"/>
  <cols>
    <col min="1" max="1" width="3.7109375" style="52" customWidth="1"/>
    <col min="2" max="2" width="49.7109375" style="29" customWidth="1"/>
    <col min="3" max="3" width="0.71875" style="29" customWidth="1"/>
    <col min="4" max="4" width="10.140625" style="49" customWidth="1"/>
    <col min="5" max="5" width="0.9921875" style="175" hidden="1" customWidth="1"/>
    <col min="6" max="6" width="9.140625" style="49" customWidth="1"/>
    <col min="7" max="7" width="0.9921875" style="175" customWidth="1"/>
    <col min="8" max="11" width="9.28125" style="49" customWidth="1"/>
    <col min="12" max="12" width="0.9921875" style="175" customWidth="1"/>
    <col min="13" max="16" width="9.421875" style="49" customWidth="1"/>
    <col min="17" max="17" width="0.9921875" style="175" customWidth="1"/>
    <col min="18" max="21" width="8.57421875" style="49" customWidth="1"/>
    <col min="22" max="22" width="0.9921875" style="175" customWidth="1"/>
    <col min="23" max="26" width="8.7109375" style="49" customWidth="1"/>
    <col min="27" max="27" width="8.00390625" style="49" customWidth="1"/>
    <col min="28" max="28" width="8.00390625" style="328" customWidth="1"/>
    <col min="29" max="29" width="8.00390625" style="49" customWidth="1"/>
    <col min="30" max="116" width="8.7109375" style="49" customWidth="1"/>
    <col min="117" max="16384" width="8.7109375" style="49" customWidth="1"/>
  </cols>
  <sheetData>
    <row r="1" spans="1:2" ht="31.5" customHeight="1">
      <c r="A1" s="494" t="s">
        <v>90</v>
      </c>
      <c r="B1" s="494"/>
    </row>
    <row r="2" spans="1:3" ht="12" customHeight="1">
      <c r="A2" s="495"/>
      <c r="B2" s="495"/>
      <c r="C2" s="135"/>
    </row>
    <row r="3" spans="1:30" ht="12" customHeight="1">
      <c r="A3" s="80" t="s">
        <v>91</v>
      </c>
      <c r="B3" s="137"/>
      <c r="C3" s="135"/>
      <c r="D3" s="11">
        <v>2014</v>
      </c>
      <c r="F3" s="11">
        <v>2015</v>
      </c>
      <c r="H3" s="11" t="s">
        <v>11</v>
      </c>
      <c r="I3" s="11" t="s">
        <v>12</v>
      </c>
      <c r="J3" s="11" t="s">
        <v>13</v>
      </c>
      <c r="K3" s="11">
        <v>2016</v>
      </c>
      <c r="M3" s="11" t="s">
        <v>55</v>
      </c>
      <c r="N3" s="11" t="s">
        <v>56</v>
      </c>
      <c r="O3" s="11" t="s">
        <v>60</v>
      </c>
      <c r="P3" s="11">
        <v>2017</v>
      </c>
      <c r="R3" s="11" t="s">
        <v>186</v>
      </c>
      <c r="S3" s="11" t="s">
        <v>190</v>
      </c>
      <c r="T3" s="11" t="s">
        <v>195</v>
      </c>
      <c r="U3" s="11">
        <v>2018</v>
      </c>
      <c r="W3" s="11" t="s">
        <v>250</v>
      </c>
      <c r="X3" s="11" t="s">
        <v>251</v>
      </c>
      <c r="Y3" s="11" t="s">
        <v>276</v>
      </c>
      <c r="Z3" s="11">
        <v>2019</v>
      </c>
      <c r="AA3" s="11" t="s">
        <v>283</v>
      </c>
      <c r="AB3" s="3" t="s">
        <v>290</v>
      </c>
      <c r="AC3" s="3" t="s">
        <v>294</v>
      </c>
      <c r="AD3" s="3">
        <v>2020</v>
      </c>
    </row>
    <row r="4" spans="1:30" ht="12" customHeight="1">
      <c r="A4" s="71" t="s">
        <v>92</v>
      </c>
      <c r="B4" s="136"/>
      <c r="D4" s="30">
        <v>14876</v>
      </c>
      <c r="F4" s="92">
        <v>14273</v>
      </c>
      <c r="H4" s="92">
        <v>14421</v>
      </c>
      <c r="I4" s="30">
        <v>14821</v>
      </c>
      <c r="J4" s="30">
        <v>15098</v>
      </c>
      <c r="K4" s="30">
        <v>15217</v>
      </c>
      <c r="M4" s="92">
        <v>15301</v>
      </c>
      <c r="N4" s="30">
        <v>15359</v>
      </c>
      <c r="O4" s="30">
        <v>15571</v>
      </c>
      <c r="P4" s="30">
        <v>16296</v>
      </c>
      <c r="R4" s="92">
        <v>16305</v>
      </c>
      <c r="S4" s="30">
        <v>16469</v>
      </c>
      <c r="T4" s="30">
        <v>16660</v>
      </c>
      <c r="U4" s="30">
        <v>17507</v>
      </c>
      <c r="W4" s="92">
        <v>18126</v>
      </c>
      <c r="X4" s="242">
        <v>18632</v>
      </c>
      <c r="Y4" s="242">
        <v>19221</v>
      </c>
      <c r="Z4" s="242">
        <v>19498</v>
      </c>
      <c r="AA4" s="242">
        <v>19793</v>
      </c>
      <c r="AB4" s="242">
        <v>19945</v>
      </c>
      <c r="AC4" s="242">
        <v>20291</v>
      </c>
      <c r="AD4" s="81">
        <v>20576</v>
      </c>
    </row>
    <row r="5" spans="1:30" ht="12" customHeight="1">
      <c r="A5" s="71" t="s">
        <v>93</v>
      </c>
      <c r="B5" s="136"/>
      <c r="D5" s="30">
        <v>2700</v>
      </c>
      <c r="F5" s="92">
        <v>3130</v>
      </c>
      <c r="H5" s="92">
        <v>3199</v>
      </c>
      <c r="I5" s="30">
        <v>3301</v>
      </c>
      <c r="J5" s="30">
        <v>3298</v>
      </c>
      <c r="K5" s="30">
        <v>2474</v>
      </c>
      <c r="M5" s="92">
        <v>2395</v>
      </c>
      <c r="N5" s="30">
        <v>2309</v>
      </c>
      <c r="O5" s="30">
        <v>2325</v>
      </c>
      <c r="P5" s="30">
        <v>1447</v>
      </c>
      <c r="R5" s="92">
        <v>1456</v>
      </c>
      <c r="S5" s="30">
        <v>1557</v>
      </c>
      <c r="T5" s="30">
        <v>1628</v>
      </c>
      <c r="U5" s="30">
        <v>1657</v>
      </c>
      <c r="W5" s="92">
        <v>1654</v>
      </c>
      <c r="X5" s="242">
        <v>1715</v>
      </c>
      <c r="Y5" s="242">
        <v>1826</v>
      </c>
      <c r="Z5" s="242">
        <v>1966</v>
      </c>
      <c r="AA5" s="242">
        <v>2197</v>
      </c>
      <c r="AB5" s="242">
        <v>2076</v>
      </c>
      <c r="AC5" s="242">
        <v>2048</v>
      </c>
      <c r="AD5" s="81">
        <v>2024</v>
      </c>
    </row>
    <row r="6" spans="1:30" ht="12" customHeight="1">
      <c r="A6" s="489" t="s">
        <v>94</v>
      </c>
      <c r="B6" s="489"/>
      <c r="D6" s="30">
        <v>17576</v>
      </c>
      <c r="F6" s="92">
        <f>F4+F5</f>
        <v>17403</v>
      </c>
      <c r="H6" s="92">
        <f>H4+H5</f>
        <v>17620</v>
      </c>
      <c r="I6" s="30">
        <f>I4+I5</f>
        <v>18122</v>
      </c>
      <c r="J6" s="30">
        <f>J4+J5</f>
        <v>18396</v>
      </c>
      <c r="K6" s="30">
        <f>K4+K5</f>
        <v>17691</v>
      </c>
      <c r="M6" s="92">
        <f>M4+M5</f>
        <v>17696</v>
      </c>
      <c r="N6" s="30">
        <f>N4+N5</f>
        <v>17668</v>
      </c>
      <c r="O6" s="30">
        <v>17896</v>
      </c>
      <c r="P6" s="30">
        <f>SUM(P4:P5)</f>
        <v>17743</v>
      </c>
      <c r="R6" s="92">
        <f>R4+R5</f>
        <v>17761</v>
      </c>
      <c r="S6" s="30">
        <f>S4+S5</f>
        <v>18026</v>
      </c>
      <c r="T6" s="30">
        <f>T4+T5</f>
        <v>18288</v>
      </c>
      <c r="U6" s="30">
        <f>U4+U5</f>
        <v>19164</v>
      </c>
      <c r="W6" s="92">
        <f>W4+W5</f>
        <v>19780</v>
      </c>
      <c r="X6" s="242">
        <v>20347</v>
      </c>
      <c r="Y6" s="242">
        <f>Y4+Y5</f>
        <v>21047</v>
      </c>
      <c r="Z6" s="242">
        <v>21464</v>
      </c>
      <c r="AA6" s="242">
        <v>21990</v>
      </c>
      <c r="AB6" s="242">
        <v>22021</v>
      </c>
      <c r="AC6" s="242">
        <v>22339</v>
      </c>
      <c r="AD6" s="81">
        <v>22600</v>
      </c>
    </row>
    <row r="7" spans="1:30" ht="12" customHeight="1">
      <c r="A7" s="71" t="s">
        <v>95</v>
      </c>
      <c r="B7" s="136"/>
      <c r="D7" s="30">
        <v>2745</v>
      </c>
      <c r="F7" s="92">
        <v>2653</v>
      </c>
      <c r="H7" s="92">
        <v>2776</v>
      </c>
      <c r="I7" s="30">
        <v>2828</v>
      </c>
      <c r="J7" s="30">
        <v>2707</v>
      </c>
      <c r="K7" s="30">
        <v>2591</v>
      </c>
      <c r="M7" s="92">
        <v>2543</v>
      </c>
      <c r="N7" s="30">
        <v>2599</v>
      </c>
      <c r="O7" s="30">
        <v>2632</v>
      </c>
      <c r="P7" s="30">
        <v>2679</v>
      </c>
      <c r="R7" s="92">
        <v>2682</v>
      </c>
      <c r="S7" s="30">
        <v>2746</v>
      </c>
      <c r="T7" s="30">
        <v>2725</v>
      </c>
      <c r="U7" s="30">
        <v>2789</v>
      </c>
      <c r="W7" s="92">
        <v>2930</v>
      </c>
      <c r="X7" s="242">
        <v>2945</v>
      </c>
      <c r="Y7" s="242">
        <v>2968</v>
      </c>
      <c r="Z7" s="242">
        <v>2829</v>
      </c>
      <c r="AA7" s="242">
        <v>2852</v>
      </c>
      <c r="AB7" s="242">
        <v>2779</v>
      </c>
      <c r="AC7" s="242">
        <v>2795</v>
      </c>
      <c r="AD7" s="81">
        <v>2857</v>
      </c>
    </row>
    <row r="8" spans="1:30" ht="12" customHeight="1">
      <c r="A8" s="71" t="s">
        <v>96</v>
      </c>
      <c r="B8" s="136"/>
      <c r="D8" s="30">
        <v>218</v>
      </c>
      <c r="F8" s="92">
        <v>241</v>
      </c>
      <c r="H8" s="92">
        <v>202</v>
      </c>
      <c r="I8" s="30">
        <v>236</v>
      </c>
      <c r="J8" s="30">
        <v>197</v>
      </c>
      <c r="K8" s="30">
        <v>208</v>
      </c>
      <c r="M8" s="92">
        <v>222</v>
      </c>
      <c r="N8" s="30">
        <v>202</v>
      </c>
      <c r="O8" s="30">
        <v>201</v>
      </c>
      <c r="P8" s="30">
        <v>209</v>
      </c>
      <c r="R8" s="92">
        <v>221</v>
      </c>
      <c r="S8" s="30">
        <v>207</v>
      </c>
      <c r="T8" s="30">
        <v>207</v>
      </c>
      <c r="U8" s="30">
        <v>224</v>
      </c>
      <c r="W8" s="92">
        <v>287</v>
      </c>
      <c r="X8" s="242">
        <v>155</v>
      </c>
      <c r="Y8" s="242">
        <v>155</v>
      </c>
      <c r="Z8" s="242">
        <v>155</v>
      </c>
      <c r="AA8" s="242">
        <v>178</v>
      </c>
      <c r="AB8" s="242">
        <v>134</v>
      </c>
      <c r="AC8" s="242">
        <v>133</v>
      </c>
      <c r="AD8" s="81">
        <v>141</v>
      </c>
    </row>
    <row r="9" spans="1:30" ht="12" customHeight="1">
      <c r="A9" s="496" t="s">
        <v>97</v>
      </c>
      <c r="B9" s="496"/>
      <c r="C9" s="181"/>
      <c r="D9" s="30">
        <v>2963</v>
      </c>
      <c r="F9" s="92">
        <f>F7+F8</f>
        <v>2894</v>
      </c>
      <c r="H9" s="92">
        <f>H7+H8</f>
        <v>2978</v>
      </c>
      <c r="I9" s="30">
        <f>I7+I8</f>
        <v>3064</v>
      </c>
      <c r="J9" s="30">
        <f>J7+J8</f>
        <v>2904</v>
      </c>
      <c r="K9" s="30">
        <f>K7+K8</f>
        <v>2799</v>
      </c>
      <c r="M9" s="92">
        <f>M7+M8</f>
        <v>2765</v>
      </c>
      <c r="N9" s="30">
        <f>N7+N8</f>
        <v>2801</v>
      </c>
      <c r="O9" s="30">
        <v>2833</v>
      </c>
      <c r="P9" s="30">
        <f>SUM(P7:P8)</f>
        <v>2888</v>
      </c>
      <c r="R9" s="92">
        <f>R7+R8</f>
        <v>2903</v>
      </c>
      <c r="S9" s="30">
        <f>S7+S8</f>
        <v>2953</v>
      </c>
      <c r="T9" s="30">
        <f>T7+T8</f>
        <v>2932</v>
      </c>
      <c r="U9" s="30">
        <f>U7+U8</f>
        <v>3013</v>
      </c>
      <c r="W9" s="92">
        <f>W7+W8</f>
        <v>3217</v>
      </c>
      <c r="X9" s="242">
        <v>3100</v>
      </c>
      <c r="Y9" s="242">
        <f>Y7+Y8</f>
        <v>3123</v>
      </c>
      <c r="Z9" s="242">
        <v>2984</v>
      </c>
      <c r="AA9" s="242">
        <v>3030</v>
      </c>
      <c r="AB9" s="242">
        <v>2913</v>
      </c>
      <c r="AC9" s="242">
        <v>2928</v>
      </c>
      <c r="AD9" s="81">
        <v>2998</v>
      </c>
    </row>
    <row r="10" spans="1:30" ht="12" customHeight="1">
      <c r="A10" s="71" t="s">
        <v>98</v>
      </c>
      <c r="B10" s="136"/>
      <c r="D10" s="30">
        <v>4363</v>
      </c>
      <c r="F10" s="92">
        <v>562</v>
      </c>
      <c r="H10" s="92">
        <v>498</v>
      </c>
      <c r="I10" s="30">
        <v>333</v>
      </c>
      <c r="J10" s="30">
        <v>73</v>
      </c>
      <c r="K10" s="30">
        <v>27</v>
      </c>
      <c r="M10" s="92">
        <v>27</v>
      </c>
      <c r="N10" s="30">
        <v>26</v>
      </c>
      <c r="O10" s="30">
        <v>26</v>
      </c>
      <c r="P10" s="30">
        <v>8</v>
      </c>
      <c r="R10" s="92">
        <v>8</v>
      </c>
      <c r="S10" s="30">
        <v>6</v>
      </c>
      <c r="T10" s="30">
        <v>5</v>
      </c>
      <c r="U10" s="30">
        <v>4</v>
      </c>
      <c r="W10" s="92">
        <v>4</v>
      </c>
      <c r="X10" s="242">
        <v>4</v>
      </c>
      <c r="Y10" s="242">
        <v>4</v>
      </c>
      <c r="Z10" s="242">
        <v>0</v>
      </c>
      <c r="AA10" s="242">
        <v>0</v>
      </c>
      <c r="AB10" s="242">
        <v>0</v>
      </c>
      <c r="AC10" s="242">
        <v>0</v>
      </c>
      <c r="AD10" s="81"/>
    </row>
    <row r="11" spans="1:30" ht="12" customHeight="1">
      <c r="A11" s="71" t="s">
        <v>99</v>
      </c>
      <c r="B11" s="136"/>
      <c r="D11" s="30">
        <v>6231</v>
      </c>
      <c r="F11" s="92">
        <v>7504</v>
      </c>
      <c r="H11" s="92">
        <v>7377</v>
      </c>
      <c r="I11" s="30">
        <v>7966</v>
      </c>
      <c r="J11" s="30">
        <v>7874</v>
      </c>
      <c r="K11" s="30">
        <v>4313</v>
      </c>
      <c r="M11" s="92">
        <v>4152</v>
      </c>
      <c r="N11" s="30">
        <v>3978</v>
      </c>
      <c r="O11" s="30">
        <v>3999</v>
      </c>
      <c r="P11" s="30">
        <v>3889</v>
      </c>
      <c r="R11" s="92">
        <v>3895</v>
      </c>
      <c r="S11" s="30">
        <v>4316</v>
      </c>
      <c r="T11" s="30">
        <v>4303</v>
      </c>
      <c r="U11" s="30">
        <v>5199</v>
      </c>
      <c r="W11" s="92">
        <v>5389</v>
      </c>
      <c r="X11" s="242">
        <v>5327</v>
      </c>
      <c r="Y11" s="242">
        <v>5796</v>
      </c>
      <c r="Z11" s="242">
        <v>5694</v>
      </c>
      <c r="AA11" s="242">
        <v>6317</v>
      </c>
      <c r="AB11" s="242">
        <v>6159</v>
      </c>
      <c r="AC11" s="242">
        <v>6075</v>
      </c>
      <c r="AD11" s="81">
        <v>6069</v>
      </c>
    </row>
    <row r="12" spans="1:30" ht="12" customHeight="1">
      <c r="A12" s="489" t="s">
        <v>100</v>
      </c>
      <c r="B12" s="489"/>
      <c r="D12" s="30">
        <v>10594</v>
      </c>
      <c r="F12" s="92">
        <f>F10+F11</f>
        <v>8066</v>
      </c>
      <c r="H12" s="92">
        <f>H10+H11</f>
        <v>7875</v>
      </c>
      <c r="I12" s="30">
        <f>I10+I11</f>
        <v>8299</v>
      </c>
      <c r="J12" s="30">
        <f>J10+J11</f>
        <v>7947</v>
      </c>
      <c r="K12" s="30">
        <f>K11+K10</f>
        <v>4340</v>
      </c>
      <c r="M12" s="92">
        <f>M10+M11</f>
        <v>4179</v>
      </c>
      <c r="N12" s="30">
        <v>4004</v>
      </c>
      <c r="O12" s="30">
        <v>4025</v>
      </c>
      <c r="P12" s="30">
        <f>SUM(P10:P11)</f>
        <v>3897</v>
      </c>
      <c r="R12" s="92">
        <f>R10+R11</f>
        <v>3903</v>
      </c>
      <c r="S12" s="30">
        <f>S10+S11</f>
        <v>4322</v>
      </c>
      <c r="T12" s="30">
        <f>T10+T11</f>
        <v>4308</v>
      </c>
      <c r="U12" s="30">
        <f>U10+U11</f>
        <v>5203</v>
      </c>
      <c r="W12" s="92">
        <f>W10+W11</f>
        <v>5393</v>
      </c>
      <c r="X12" s="242">
        <v>5331</v>
      </c>
      <c r="Y12" s="242">
        <f>Y10+Y11</f>
        <v>5800</v>
      </c>
      <c r="Z12" s="242">
        <v>5694</v>
      </c>
      <c r="AA12" s="242">
        <v>6317</v>
      </c>
      <c r="AB12" s="242">
        <v>6159</v>
      </c>
      <c r="AC12" s="242">
        <v>6075</v>
      </c>
      <c r="AD12" s="81">
        <v>6069</v>
      </c>
    </row>
    <row r="13" spans="1:30" ht="12" customHeight="1">
      <c r="A13" s="71" t="s">
        <v>101</v>
      </c>
      <c r="B13" s="136"/>
      <c r="D13" s="30">
        <v>214</v>
      </c>
      <c r="F13" s="92">
        <v>117</v>
      </c>
      <c r="H13" s="92">
        <v>133</v>
      </c>
      <c r="I13" s="30">
        <v>67</v>
      </c>
      <c r="J13" s="30">
        <v>58</v>
      </c>
      <c r="K13" s="30">
        <v>237</v>
      </c>
      <c r="M13" s="92">
        <v>162</v>
      </c>
      <c r="N13" s="30">
        <v>137</v>
      </c>
      <c r="O13" s="30">
        <v>183</v>
      </c>
      <c r="P13" s="30">
        <v>110</v>
      </c>
      <c r="R13" s="92">
        <v>213</v>
      </c>
      <c r="S13" s="30">
        <v>329</v>
      </c>
      <c r="T13" s="30">
        <v>399</v>
      </c>
      <c r="U13" s="30">
        <v>320</v>
      </c>
      <c r="W13" s="92">
        <v>250</v>
      </c>
      <c r="X13" s="242">
        <v>258</v>
      </c>
      <c r="Y13" s="242">
        <v>162</v>
      </c>
      <c r="Z13" s="242">
        <v>124</v>
      </c>
      <c r="AA13" s="242">
        <v>24</v>
      </c>
      <c r="AB13" s="242">
        <v>243</v>
      </c>
      <c r="AC13" s="242">
        <v>864</v>
      </c>
      <c r="AD13" s="81">
        <v>789</v>
      </c>
    </row>
    <row r="14" spans="1:30" ht="12" customHeight="1">
      <c r="A14" s="71" t="s">
        <v>132</v>
      </c>
      <c r="B14" s="136"/>
      <c r="D14" s="30">
        <v>931</v>
      </c>
      <c r="F14" s="92">
        <v>579</v>
      </c>
      <c r="H14" s="92">
        <v>602</v>
      </c>
      <c r="I14" s="30">
        <v>571</v>
      </c>
      <c r="J14" s="30">
        <v>528</v>
      </c>
      <c r="K14" s="30">
        <v>577</v>
      </c>
      <c r="M14" s="92">
        <v>677</v>
      </c>
      <c r="N14" s="30">
        <v>712</v>
      </c>
      <c r="O14" s="30">
        <v>742</v>
      </c>
      <c r="P14" s="30">
        <v>614</v>
      </c>
      <c r="R14" s="92">
        <v>553</v>
      </c>
      <c r="S14" s="30">
        <v>527</v>
      </c>
      <c r="T14" s="30">
        <v>438</v>
      </c>
      <c r="U14" s="30">
        <v>541</v>
      </c>
      <c r="W14" s="92">
        <v>520</v>
      </c>
      <c r="X14" s="242">
        <v>463</v>
      </c>
      <c r="Y14" s="242">
        <v>428</v>
      </c>
      <c r="Z14" s="242">
        <v>448</v>
      </c>
      <c r="AA14" s="242">
        <v>345</v>
      </c>
      <c r="AB14" s="242">
        <v>581</v>
      </c>
      <c r="AC14" s="242">
        <v>532</v>
      </c>
      <c r="AD14" s="81">
        <v>636</v>
      </c>
    </row>
    <row r="15" spans="1:30" ht="12" customHeight="1">
      <c r="A15" s="71" t="s">
        <v>269</v>
      </c>
      <c r="B15" s="285"/>
      <c r="D15" s="30">
        <v>627</v>
      </c>
      <c r="F15" s="92">
        <v>735</v>
      </c>
      <c r="H15" s="92">
        <v>787</v>
      </c>
      <c r="I15" s="30">
        <v>859</v>
      </c>
      <c r="J15" s="30">
        <v>826</v>
      </c>
      <c r="K15" s="30">
        <v>930</v>
      </c>
      <c r="M15" s="92">
        <v>929</v>
      </c>
      <c r="N15" s="30">
        <v>916</v>
      </c>
      <c r="O15" s="30">
        <v>940</v>
      </c>
      <c r="P15" s="30">
        <v>762</v>
      </c>
      <c r="R15" s="92">
        <v>804</v>
      </c>
      <c r="S15" s="30">
        <v>781</v>
      </c>
      <c r="T15" s="30">
        <v>778</v>
      </c>
      <c r="U15" s="30">
        <v>716</v>
      </c>
      <c r="W15" s="92">
        <v>757</v>
      </c>
      <c r="X15" s="242">
        <v>751</v>
      </c>
      <c r="Y15" s="242">
        <v>783</v>
      </c>
      <c r="Z15" s="242">
        <v>656</v>
      </c>
      <c r="AA15" s="242">
        <v>688</v>
      </c>
      <c r="AB15" s="242">
        <v>710</v>
      </c>
      <c r="AC15" s="242">
        <v>699</v>
      </c>
      <c r="AD15" s="81">
        <v>601</v>
      </c>
    </row>
    <row r="16" spans="1:30" ht="12" customHeight="1">
      <c r="A16" s="489" t="s">
        <v>103</v>
      </c>
      <c r="B16" s="489"/>
      <c r="D16" s="30">
        <v>1772</v>
      </c>
      <c r="F16" s="92">
        <f>F13+F14+F15</f>
        <v>1431</v>
      </c>
      <c r="H16" s="92">
        <f>H13+H14+H15</f>
        <v>1522</v>
      </c>
      <c r="I16" s="30">
        <f>I13+I14+I15</f>
        <v>1497</v>
      </c>
      <c r="J16" s="30">
        <f>J13+J14+J15</f>
        <v>1412</v>
      </c>
      <c r="K16" s="30">
        <f>K13+K14+K15</f>
        <v>1744</v>
      </c>
      <c r="M16" s="92">
        <f>M13+M14+M15</f>
        <v>1768</v>
      </c>
      <c r="N16" s="30">
        <f>N13+N14+N15</f>
        <v>1765</v>
      </c>
      <c r="O16" s="30">
        <v>1865</v>
      </c>
      <c r="P16" s="30">
        <f>SUM(P13:P15)</f>
        <v>1486</v>
      </c>
      <c r="R16" s="92">
        <f>R13+R14+R15</f>
        <v>1570</v>
      </c>
      <c r="S16" s="30">
        <f>S13+S14+S15</f>
        <v>1637</v>
      </c>
      <c r="T16" s="30">
        <f>T13+T14+T15</f>
        <v>1615</v>
      </c>
      <c r="U16" s="30">
        <f>U13+U14+U15</f>
        <v>1577</v>
      </c>
      <c r="W16" s="92">
        <f>W13+W14+W15</f>
        <v>1527</v>
      </c>
      <c r="X16" s="242">
        <f>X13+X14+X15</f>
        <v>1472</v>
      </c>
      <c r="Y16" s="242">
        <f>Y13+Y14+Y15</f>
        <v>1373</v>
      </c>
      <c r="Z16" s="242">
        <v>1228</v>
      </c>
      <c r="AA16" s="242">
        <v>1057</v>
      </c>
      <c r="AB16" s="242">
        <v>1534</v>
      </c>
      <c r="AC16" s="242">
        <v>2095</v>
      </c>
      <c r="AD16" s="81">
        <v>2026</v>
      </c>
    </row>
    <row r="17" spans="1:30" ht="12" customHeight="1">
      <c r="A17" s="71" t="s">
        <v>104</v>
      </c>
      <c r="B17" s="136"/>
      <c r="D17" s="30">
        <v>535</v>
      </c>
      <c r="F17" s="92">
        <v>557</v>
      </c>
      <c r="H17" s="92">
        <v>562</v>
      </c>
      <c r="I17" s="30">
        <v>608</v>
      </c>
      <c r="J17" s="30">
        <v>512</v>
      </c>
      <c r="K17" s="30">
        <v>511</v>
      </c>
      <c r="M17" s="92">
        <v>456</v>
      </c>
      <c r="N17" s="30">
        <v>372</v>
      </c>
      <c r="O17" s="30">
        <v>340</v>
      </c>
      <c r="P17" s="30">
        <v>389</v>
      </c>
      <c r="R17" s="92">
        <v>487</v>
      </c>
      <c r="S17" s="30">
        <v>542</v>
      </c>
      <c r="T17" s="30">
        <v>420</v>
      </c>
      <c r="U17" s="30">
        <v>309</v>
      </c>
      <c r="W17" s="92">
        <v>452</v>
      </c>
      <c r="X17" s="242">
        <v>223</v>
      </c>
      <c r="Y17" s="242">
        <v>236</v>
      </c>
      <c r="Z17" s="242">
        <v>157</v>
      </c>
      <c r="AA17" s="242">
        <v>163</v>
      </c>
      <c r="AB17" s="242">
        <v>141</v>
      </c>
      <c r="AC17" s="242">
        <v>150</v>
      </c>
      <c r="AD17" s="81">
        <v>193</v>
      </c>
    </row>
    <row r="18" spans="1:30" ht="12" customHeight="1">
      <c r="A18" s="71" t="s">
        <v>105</v>
      </c>
      <c r="B18" s="136"/>
      <c r="D18" s="30">
        <v>129</v>
      </c>
      <c r="F18" s="92">
        <v>97</v>
      </c>
      <c r="H18" s="92">
        <v>123</v>
      </c>
      <c r="I18" s="30">
        <v>125</v>
      </c>
      <c r="J18" s="30">
        <v>125</v>
      </c>
      <c r="K18" s="30">
        <v>117</v>
      </c>
      <c r="M18" s="92">
        <v>117</v>
      </c>
      <c r="N18" s="30">
        <v>118</v>
      </c>
      <c r="O18" s="30">
        <v>113</v>
      </c>
      <c r="P18" s="30">
        <v>112</v>
      </c>
      <c r="R18" s="92">
        <v>111</v>
      </c>
      <c r="S18" s="30">
        <v>109</v>
      </c>
      <c r="T18" s="30">
        <v>121</v>
      </c>
      <c r="U18" s="30">
        <v>109</v>
      </c>
      <c r="W18" s="92">
        <v>108</v>
      </c>
      <c r="X18" s="242">
        <v>108</v>
      </c>
      <c r="Y18" s="242">
        <v>115</v>
      </c>
      <c r="Z18" s="242">
        <v>142</v>
      </c>
      <c r="AA18" s="242">
        <v>128</v>
      </c>
      <c r="AB18" s="242">
        <v>135</v>
      </c>
      <c r="AC18" s="242">
        <v>139</v>
      </c>
      <c r="AD18" s="81">
        <v>161</v>
      </c>
    </row>
    <row r="19" spans="1:30" ht="12" customHeight="1">
      <c r="A19" s="490" t="s">
        <v>106</v>
      </c>
      <c r="B19" s="490"/>
      <c r="C19" s="135"/>
      <c r="D19" s="25">
        <v>33569</v>
      </c>
      <c r="F19" s="88">
        <f>F6+F9+F12+F13+F14+F15+F17+F18</f>
        <v>30448</v>
      </c>
      <c r="H19" s="88">
        <f>H6+H9+H12+H13+H14+H15+H17+H18</f>
        <v>30680</v>
      </c>
      <c r="I19" s="25">
        <f>I6+I9+I12+I13+I14+I15+I17+I18</f>
        <v>31715</v>
      </c>
      <c r="J19" s="25">
        <f>J6+J9+J12+J13+J14+J15+J17+J18</f>
        <v>31296</v>
      </c>
      <c r="K19" s="25">
        <f>K6+K9+K12+K13+K14+K15+K17+K18</f>
        <v>27202</v>
      </c>
      <c r="M19" s="88">
        <f>M6+M9+M12+M13+M14+M15+M17+M18</f>
        <v>26981</v>
      </c>
      <c r="N19" s="25">
        <f>N6+N9+N12+N13+N14+N15+N17+N18</f>
        <v>26728</v>
      </c>
      <c r="O19" s="25">
        <v>27072</v>
      </c>
      <c r="P19" s="25">
        <f>P6+P9+P12+P16+P17+P18</f>
        <v>26515</v>
      </c>
      <c r="R19" s="88">
        <f>R6+R9+R12+R13+R14+R15+R17+R18</f>
        <v>26735</v>
      </c>
      <c r="S19" s="25">
        <f>S6+S9+S12+S13+S14+S15+S17+S18</f>
        <v>27589</v>
      </c>
      <c r="T19" s="25">
        <f>T6+T9+T12+T13+T14+T15+T17+T18</f>
        <v>27684</v>
      </c>
      <c r="U19" s="25">
        <f>U6+U9+U12+U16+U17+U18</f>
        <v>29375</v>
      </c>
      <c r="W19" s="88">
        <f>W6+W9+W12+W16+W17+W18</f>
        <v>30477</v>
      </c>
      <c r="X19" s="289">
        <f>X6+X9+X12+X16+X17+X18</f>
        <v>30581</v>
      </c>
      <c r="Y19" s="289">
        <f>Y6+Y9+Y12+Y16+Y17+Y18</f>
        <v>31694</v>
      </c>
      <c r="Z19" s="289">
        <v>31669</v>
      </c>
      <c r="AA19" s="289">
        <v>32685</v>
      </c>
      <c r="AB19" s="289">
        <v>32903</v>
      </c>
      <c r="AC19" s="289">
        <v>33726</v>
      </c>
      <c r="AD19" s="82">
        <v>34047</v>
      </c>
    </row>
    <row r="20" spans="1:30" ht="12" customHeight="1">
      <c r="A20" s="489" t="s">
        <v>107</v>
      </c>
      <c r="B20" s="489"/>
      <c r="D20" s="30">
        <v>3362</v>
      </c>
      <c r="F20" s="92">
        <v>3382</v>
      </c>
      <c r="H20" s="92">
        <v>3935</v>
      </c>
      <c r="I20" s="30">
        <v>4066</v>
      </c>
      <c r="J20" s="30">
        <v>4225</v>
      </c>
      <c r="K20" s="30">
        <v>3497</v>
      </c>
      <c r="M20" s="92">
        <v>4154</v>
      </c>
      <c r="N20" s="30">
        <v>4512</v>
      </c>
      <c r="O20" s="30">
        <v>4931</v>
      </c>
      <c r="P20" s="30">
        <v>4562</v>
      </c>
      <c r="R20" s="92">
        <v>5468</v>
      </c>
      <c r="S20" s="30">
        <v>5568</v>
      </c>
      <c r="T20" s="30">
        <v>5519</v>
      </c>
      <c r="U20" s="30">
        <v>4983</v>
      </c>
      <c r="W20" s="92">
        <v>5444</v>
      </c>
      <c r="X20" s="242">
        <v>5277</v>
      </c>
      <c r="Y20" s="242">
        <v>5338</v>
      </c>
      <c r="Z20" s="242">
        <v>4741</v>
      </c>
      <c r="AA20" s="242">
        <v>4951</v>
      </c>
      <c r="AB20" s="242">
        <v>4615</v>
      </c>
      <c r="AC20" s="242">
        <v>4854</v>
      </c>
      <c r="AD20" s="81">
        <v>4459</v>
      </c>
    </row>
    <row r="21" spans="1:30" ht="12" customHeight="1">
      <c r="A21" s="489" t="s">
        <v>108</v>
      </c>
      <c r="B21" s="489"/>
      <c r="D21" s="30">
        <v>1890</v>
      </c>
      <c r="F21" s="92">
        <v>1541</v>
      </c>
      <c r="H21" s="92">
        <v>1077</v>
      </c>
      <c r="I21" s="30">
        <v>1146</v>
      </c>
      <c r="J21" s="30">
        <v>955</v>
      </c>
      <c r="K21" s="30">
        <v>1292</v>
      </c>
      <c r="M21" s="92">
        <v>1206</v>
      </c>
      <c r="N21" s="30">
        <v>1097</v>
      </c>
      <c r="O21" s="30">
        <v>1127</v>
      </c>
      <c r="P21" s="30">
        <v>1522</v>
      </c>
      <c r="R21" s="92">
        <v>1192</v>
      </c>
      <c r="S21" s="30">
        <v>1222</v>
      </c>
      <c r="T21" s="30">
        <v>1229</v>
      </c>
      <c r="U21" s="30">
        <v>799</v>
      </c>
      <c r="W21" s="92">
        <v>1011</v>
      </c>
      <c r="X21" s="242">
        <v>723</v>
      </c>
      <c r="Y21" s="242">
        <v>758</v>
      </c>
      <c r="Z21" s="242">
        <v>688</v>
      </c>
      <c r="AA21" s="242">
        <v>667</v>
      </c>
      <c r="AB21" s="242">
        <v>747</v>
      </c>
      <c r="AC21" s="242">
        <v>745</v>
      </c>
      <c r="AD21" s="81">
        <v>834</v>
      </c>
    </row>
    <row r="22" spans="1:30" ht="12" customHeight="1">
      <c r="A22" s="489" t="s">
        <v>109</v>
      </c>
      <c r="B22" s="489"/>
      <c r="D22" s="30">
        <v>445</v>
      </c>
      <c r="F22" s="92">
        <v>542</v>
      </c>
      <c r="H22" s="92">
        <v>334</v>
      </c>
      <c r="I22" s="30">
        <v>336</v>
      </c>
      <c r="J22" s="30">
        <v>288</v>
      </c>
      <c r="K22" s="30">
        <v>267</v>
      </c>
      <c r="M22" s="92">
        <v>233</v>
      </c>
      <c r="N22" s="30">
        <v>228</v>
      </c>
      <c r="O22" s="30">
        <v>224</v>
      </c>
      <c r="P22" s="30">
        <v>277</v>
      </c>
      <c r="R22" s="92">
        <v>213</v>
      </c>
      <c r="S22" s="30">
        <v>226</v>
      </c>
      <c r="T22" s="30">
        <v>233</v>
      </c>
      <c r="U22" s="30">
        <v>417</v>
      </c>
      <c r="W22" s="92">
        <v>312</v>
      </c>
      <c r="X22" s="242">
        <v>288</v>
      </c>
      <c r="Y22" s="242">
        <v>415</v>
      </c>
      <c r="Z22" s="242">
        <v>571</v>
      </c>
      <c r="AA22" s="242">
        <v>482</v>
      </c>
      <c r="AB22" s="242">
        <v>498</v>
      </c>
      <c r="AC22" s="242">
        <v>426</v>
      </c>
      <c r="AD22" s="81">
        <v>295</v>
      </c>
    </row>
    <row r="23" spans="1:30" ht="12" customHeight="1">
      <c r="A23" s="489" t="s">
        <v>101</v>
      </c>
      <c r="B23" s="489"/>
      <c r="D23" s="30">
        <v>277</v>
      </c>
      <c r="F23" s="92">
        <v>7</v>
      </c>
      <c r="H23" s="92">
        <v>80</v>
      </c>
      <c r="I23" s="30">
        <v>33</v>
      </c>
      <c r="J23" s="30">
        <v>56</v>
      </c>
      <c r="K23" s="30">
        <v>72</v>
      </c>
      <c r="M23" s="92">
        <v>78</v>
      </c>
      <c r="N23" s="30">
        <v>101</v>
      </c>
      <c r="O23" s="30">
        <v>110</v>
      </c>
      <c r="P23" s="30">
        <v>196</v>
      </c>
      <c r="R23" s="92">
        <v>264</v>
      </c>
      <c r="S23" s="30">
        <v>158</v>
      </c>
      <c r="T23" s="30">
        <v>244</v>
      </c>
      <c r="U23" s="30">
        <v>301</v>
      </c>
      <c r="W23" s="92">
        <v>140</v>
      </c>
      <c r="X23" s="242">
        <v>324</v>
      </c>
      <c r="Y23" s="242">
        <v>363</v>
      </c>
      <c r="Z23" s="242">
        <v>293</v>
      </c>
      <c r="AA23" s="242">
        <v>892</v>
      </c>
      <c r="AB23" s="242">
        <v>222</v>
      </c>
      <c r="AC23" s="242">
        <v>269</v>
      </c>
      <c r="AD23" s="81">
        <v>210</v>
      </c>
    </row>
    <row r="24" spans="1:30" ht="12" customHeight="1">
      <c r="A24" s="493" t="s">
        <v>110</v>
      </c>
      <c r="B24" s="493"/>
      <c r="D24" s="30">
        <v>356</v>
      </c>
      <c r="F24" s="92">
        <v>383</v>
      </c>
      <c r="H24" s="92">
        <v>403</v>
      </c>
      <c r="I24" s="30">
        <v>417</v>
      </c>
      <c r="J24" s="30">
        <v>340</v>
      </c>
      <c r="K24" s="30">
        <v>252</v>
      </c>
      <c r="M24" s="92">
        <v>353</v>
      </c>
      <c r="N24" s="30">
        <v>389</v>
      </c>
      <c r="O24" s="30">
        <v>435</v>
      </c>
      <c r="P24" s="30">
        <v>464</v>
      </c>
      <c r="R24" s="92">
        <f>270+239</f>
        <v>509</v>
      </c>
      <c r="S24" s="30">
        <f>296+402</f>
        <v>698</v>
      </c>
      <c r="T24" s="30">
        <f>266+257</f>
        <v>523</v>
      </c>
      <c r="U24" s="30">
        <f>273+132</f>
        <v>405</v>
      </c>
      <c r="W24" s="92">
        <f>286+258</f>
        <v>544</v>
      </c>
      <c r="X24" s="242">
        <f>420+326</f>
        <v>746</v>
      </c>
      <c r="Y24" s="242">
        <f>457+326</f>
        <v>783</v>
      </c>
      <c r="Z24" s="242">
        <f>280+151</f>
        <v>431</v>
      </c>
      <c r="AA24" s="242">
        <f>394+327</f>
        <v>721</v>
      </c>
      <c r="AB24" s="242">
        <v>648</v>
      </c>
      <c r="AC24" s="242">
        <v>546</v>
      </c>
      <c r="AD24" s="81">
        <v>352</v>
      </c>
    </row>
    <row r="25" spans="1:30" ht="12" customHeight="1">
      <c r="A25" s="489" t="s">
        <v>111</v>
      </c>
      <c r="B25" s="489"/>
      <c r="D25" s="30">
        <v>475</v>
      </c>
      <c r="F25" s="92">
        <v>461</v>
      </c>
      <c r="H25" s="92">
        <v>589</v>
      </c>
      <c r="I25" s="30">
        <v>698</v>
      </c>
      <c r="J25" s="30">
        <v>731</v>
      </c>
      <c r="K25" s="30">
        <v>860</v>
      </c>
      <c r="M25" s="92">
        <v>624</v>
      </c>
      <c r="N25" s="30">
        <v>446</v>
      </c>
      <c r="O25" s="30">
        <v>407</v>
      </c>
      <c r="P25" s="30">
        <v>586</v>
      </c>
      <c r="R25" s="92">
        <v>523</v>
      </c>
      <c r="S25" s="30">
        <v>610</v>
      </c>
      <c r="T25" s="30">
        <v>789</v>
      </c>
      <c r="U25" s="30">
        <v>957</v>
      </c>
      <c r="W25" s="92">
        <v>590</v>
      </c>
      <c r="X25" s="242">
        <v>1106</v>
      </c>
      <c r="Y25" s="242">
        <v>748</v>
      </c>
      <c r="Z25" s="242">
        <v>1016</v>
      </c>
      <c r="AA25" s="242">
        <v>2198</v>
      </c>
      <c r="AB25" s="242">
        <v>1951</v>
      </c>
      <c r="AC25" s="242">
        <v>1119</v>
      </c>
      <c r="AD25" s="81">
        <v>2522</v>
      </c>
    </row>
    <row r="26" spans="1:30" ht="12" customHeight="1">
      <c r="A26" s="489" t="s">
        <v>295</v>
      </c>
      <c r="B26" s="489"/>
      <c r="D26" s="30">
        <v>0</v>
      </c>
      <c r="F26" s="92">
        <v>0</v>
      </c>
      <c r="H26" s="92">
        <v>0</v>
      </c>
      <c r="I26" s="30">
        <v>0</v>
      </c>
      <c r="J26" s="30">
        <v>0</v>
      </c>
      <c r="K26" s="30">
        <v>0</v>
      </c>
      <c r="M26" s="92">
        <v>0</v>
      </c>
      <c r="N26" s="30">
        <v>0</v>
      </c>
      <c r="O26" s="30">
        <v>0</v>
      </c>
      <c r="P26" s="30">
        <v>0</v>
      </c>
      <c r="R26" s="92">
        <v>0</v>
      </c>
      <c r="S26" s="30">
        <v>0</v>
      </c>
      <c r="T26" s="30">
        <v>0</v>
      </c>
      <c r="U26" s="30">
        <v>0</v>
      </c>
      <c r="W26" s="92">
        <v>0</v>
      </c>
      <c r="X26" s="242">
        <v>0</v>
      </c>
      <c r="Y26" s="242">
        <v>0</v>
      </c>
      <c r="Z26" s="242">
        <v>0</v>
      </c>
      <c r="AA26" s="242">
        <v>0</v>
      </c>
      <c r="AB26" s="242">
        <v>0</v>
      </c>
      <c r="AC26" s="242">
        <v>31</v>
      </c>
      <c r="AD26" s="81">
        <v>61</v>
      </c>
    </row>
    <row r="27" spans="1:30" ht="12" customHeight="1">
      <c r="A27" s="490" t="s">
        <v>112</v>
      </c>
      <c r="B27" s="490"/>
      <c r="C27" s="135"/>
      <c r="D27" s="25">
        <v>6805</v>
      </c>
      <c r="F27" s="88">
        <f>F20+F21+F22+F23+F25+F24</f>
        <v>6316</v>
      </c>
      <c r="H27" s="88">
        <f>H20+H21+H22+H23+H25+H24</f>
        <v>6418</v>
      </c>
      <c r="I27" s="25">
        <f>I20+I21+I22+I23+I25+I24</f>
        <v>6696</v>
      </c>
      <c r="J27" s="25">
        <f>J20+J21+J22+J23+J25+J24</f>
        <v>6595</v>
      </c>
      <c r="K27" s="25">
        <f>K20+K21+K22+K23+K25+K24</f>
        <v>6240</v>
      </c>
      <c r="M27" s="88">
        <f>M20+M21+M22+M23+M25+M24</f>
        <v>6648</v>
      </c>
      <c r="N27" s="25">
        <f>N20+N21+N22+N23+N25+N24</f>
        <v>6773</v>
      </c>
      <c r="O27" s="25">
        <v>7234</v>
      </c>
      <c r="P27" s="25">
        <f>SUM(P20:P25)</f>
        <v>7607</v>
      </c>
      <c r="R27" s="88">
        <f>R20+R21+R22+R23+R25+R24</f>
        <v>8169</v>
      </c>
      <c r="S27" s="25">
        <f>S20+S21+S22+S23+S25+S24</f>
        <v>8482</v>
      </c>
      <c r="T27" s="25">
        <f>T20+T21+T22+T23+T25+T24</f>
        <v>8537</v>
      </c>
      <c r="U27" s="25">
        <f>U20+U21+U22+U23+U24+U25</f>
        <v>7862</v>
      </c>
      <c r="W27" s="88">
        <f>W20+W21+W22+W23+W24+W25</f>
        <v>8041</v>
      </c>
      <c r="X27" s="289">
        <f>X20+X21+X22+X23+X24+X25</f>
        <v>8464</v>
      </c>
      <c r="Y27" s="289">
        <f>Y20+Y21+Y22+Y23+Y24+Y25</f>
        <v>8405</v>
      </c>
      <c r="Z27" s="289">
        <v>7740</v>
      </c>
      <c r="AA27" s="289">
        <v>9911</v>
      </c>
      <c r="AB27" s="289">
        <v>8681</v>
      </c>
      <c r="AC27" s="289">
        <v>7990</v>
      </c>
      <c r="AD27" s="82">
        <v>8733</v>
      </c>
    </row>
    <row r="28" spans="1:248" ht="12" customHeight="1">
      <c r="A28" s="490" t="s">
        <v>113</v>
      </c>
      <c r="B28" s="490"/>
      <c r="C28" s="135"/>
      <c r="D28" s="25">
        <v>40374</v>
      </c>
      <c r="F28" s="92">
        <f>F19+F27</f>
        <v>36764</v>
      </c>
      <c r="H28" s="88">
        <f>H19+H27</f>
        <v>37098</v>
      </c>
      <c r="I28" s="25">
        <f>I19+I27</f>
        <v>38411</v>
      </c>
      <c r="J28" s="25">
        <f>J19+J27</f>
        <v>37891</v>
      </c>
      <c r="K28" s="25">
        <f>K19+K27</f>
        <v>33442</v>
      </c>
      <c r="M28" s="88">
        <f aca="true" t="shared" si="0" ref="M28:T28">M19+M27</f>
        <v>33629</v>
      </c>
      <c r="N28" s="25">
        <f t="shared" si="0"/>
        <v>33501</v>
      </c>
      <c r="O28" s="25">
        <f t="shared" si="0"/>
        <v>34306</v>
      </c>
      <c r="P28" s="25">
        <f t="shared" si="0"/>
        <v>34122</v>
      </c>
      <c r="R28" s="88">
        <f t="shared" si="0"/>
        <v>34904</v>
      </c>
      <c r="S28" s="25">
        <f t="shared" si="0"/>
        <v>36071</v>
      </c>
      <c r="T28" s="25">
        <f t="shared" si="0"/>
        <v>36221</v>
      </c>
      <c r="U28" s="25">
        <f>U27+U19</f>
        <v>37237</v>
      </c>
      <c r="W28" s="88">
        <f>W27+W19</f>
        <v>38518</v>
      </c>
      <c r="X28" s="289">
        <f>X27+X19</f>
        <v>39045</v>
      </c>
      <c r="Y28" s="289">
        <f>Y27+Y19</f>
        <v>40099</v>
      </c>
      <c r="Z28" s="289">
        <v>39409</v>
      </c>
      <c r="AA28" s="289">
        <v>42596</v>
      </c>
      <c r="AB28" s="289">
        <v>41584</v>
      </c>
      <c r="AC28" s="289">
        <v>41716</v>
      </c>
      <c r="AD28" s="82">
        <v>42780</v>
      </c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</row>
    <row r="29" spans="1:248" ht="12" customHeight="1">
      <c r="A29" s="24"/>
      <c r="B29" s="24"/>
      <c r="C29" s="24"/>
      <c r="D29" s="138"/>
      <c r="F29" s="138"/>
      <c r="H29" s="138"/>
      <c r="I29" s="138"/>
      <c r="J29" s="138"/>
      <c r="K29" s="139"/>
      <c r="M29" s="138"/>
      <c r="N29" s="139"/>
      <c r="O29" s="139"/>
      <c r="P29" s="139"/>
      <c r="R29" s="139"/>
      <c r="S29" s="139"/>
      <c r="T29" s="139"/>
      <c r="U29" s="139"/>
      <c r="W29" s="139"/>
      <c r="X29" s="79"/>
      <c r="Y29" s="310"/>
      <c r="Z29" s="310"/>
      <c r="AA29" s="310"/>
      <c r="AB29" s="310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</row>
    <row r="30" spans="1:28" ht="12" customHeight="1">
      <c r="A30" s="491" t="s">
        <v>114</v>
      </c>
      <c r="B30" s="491"/>
      <c r="C30" s="135"/>
      <c r="D30" s="143"/>
      <c r="F30" s="143"/>
      <c r="H30" s="143"/>
      <c r="I30" s="143"/>
      <c r="J30" s="143"/>
      <c r="K30" s="90"/>
      <c r="M30" s="143"/>
      <c r="N30" s="90"/>
      <c r="O30" s="90"/>
      <c r="P30" s="90"/>
      <c r="R30" s="90"/>
      <c r="S30" s="90"/>
      <c r="T30" s="83"/>
      <c r="U30" s="90"/>
      <c r="W30" s="139"/>
      <c r="X30" s="180"/>
      <c r="Y30" s="311"/>
      <c r="Z30" s="311"/>
      <c r="AA30" s="311"/>
      <c r="AB30" s="311"/>
    </row>
    <row r="31" spans="1:30" ht="12" customHeight="1">
      <c r="A31" s="71" t="s">
        <v>115</v>
      </c>
      <c r="B31" s="136"/>
      <c r="D31" s="30">
        <v>2000</v>
      </c>
      <c r="F31" s="92">
        <v>2000</v>
      </c>
      <c r="H31" s="92">
        <v>2000</v>
      </c>
      <c r="I31" s="30">
        <v>2000</v>
      </c>
      <c r="J31" s="30">
        <v>2000</v>
      </c>
      <c r="K31" s="30">
        <v>2000</v>
      </c>
      <c r="M31" s="92">
        <v>2000</v>
      </c>
      <c r="N31" s="30">
        <v>2000</v>
      </c>
      <c r="O31" s="30">
        <v>2000</v>
      </c>
      <c r="P31" s="30">
        <v>2000</v>
      </c>
      <c r="R31" s="92">
        <v>2000</v>
      </c>
      <c r="S31" s="30">
        <v>2000</v>
      </c>
      <c r="T31" s="30">
        <v>2000</v>
      </c>
      <c r="U31" s="30">
        <v>2000</v>
      </c>
      <c r="W31" s="92">
        <v>2000</v>
      </c>
      <c r="X31" s="242">
        <v>2000</v>
      </c>
      <c r="Y31" s="242">
        <v>2000</v>
      </c>
      <c r="Z31" s="242">
        <v>2000</v>
      </c>
      <c r="AA31" s="242">
        <v>2000</v>
      </c>
      <c r="AB31" s="242">
        <v>2000</v>
      </c>
      <c r="AC31" s="242">
        <v>2000</v>
      </c>
      <c r="AD31" s="81">
        <v>2000</v>
      </c>
    </row>
    <row r="32" spans="1:30" ht="12" customHeight="1">
      <c r="A32" s="71" t="s">
        <v>116</v>
      </c>
      <c r="B32" s="136"/>
      <c r="D32" s="30">
        <v>377</v>
      </c>
      <c r="F32" s="92">
        <v>-64</v>
      </c>
      <c r="H32" s="92">
        <v>48</v>
      </c>
      <c r="I32" s="30">
        <v>-64</v>
      </c>
      <c r="J32" s="30">
        <v>-75</v>
      </c>
      <c r="K32" s="30">
        <v>-183</v>
      </c>
      <c r="M32" s="92">
        <v>26</v>
      </c>
      <c r="N32" s="30">
        <v>100</v>
      </c>
      <c r="O32" s="30">
        <v>170</v>
      </c>
      <c r="P32" s="30">
        <v>158</v>
      </c>
      <c r="R32" s="92">
        <v>-556</v>
      </c>
      <c r="S32" s="30">
        <v>-636</v>
      </c>
      <c r="T32" s="30">
        <v>-537</v>
      </c>
      <c r="U32" s="30">
        <v>-444</v>
      </c>
      <c r="W32" s="92">
        <v>-682</v>
      </c>
      <c r="X32" s="242">
        <v>-468</v>
      </c>
      <c r="Y32" s="242">
        <v>-767</v>
      </c>
      <c r="Z32" s="242">
        <v>-738</v>
      </c>
      <c r="AA32" s="242">
        <v>-796</v>
      </c>
      <c r="AB32" s="242">
        <v>-897</v>
      </c>
      <c r="AC32" s="242">
        <v>-786</v>
      </c>
      <c r="AD32" s="81">
        <v>-1430</v>
      </c>
    </row>
    <row r="33" spans="1:30" ht="21" customHeight="1">
      <c r="A33" s="286"/>
      <c r="B33" s="286" t="s">
        <v>275</v>
      </c>
      <c r="D33" s="30">
        <v>741</v>
      </c>
      <c r="F33" s="92">
        <v>1868</v>
      </c>
      <c r="H33" s="92">
        <v>1704</v>
      </c>
      <c r="I33" s="30">
        <v>1917</v>
      </c>
      <c r="J33" s="30">
        <v>1869</v>
      </c>
      <c r="K33" s="30">
        <v>2216</v>
      </c>
      <c r="M33" s="92">
        <v>2160</v>
      </c>
      <c r="N33" s="30">
        <v>2272</v>
      </c>
      <c r="O33" s="30">
        <v>2341</v>
      </c>
      <c r="P33" s="30">
        <v>2427</v>
      </c>
      <c r="R33" s="92">
        <v>2313</v>
      </c>
      <c r="S33" s="30">
        <v>2094</v>
      </c>
      <c r="T33" s="30">
        <v>2172</v>
      </c>
      <c r="U33" s="30">
        <v>2005</v>
      </c>
      <c r="W33" s="92">
        <v>1906</v>
      </c>
      <c r="X33" s="242">
        <v>1897</v>
      </c>
      <c r="Y33" s="242">
        <v>1845</v>
      </c>
      <c r="Z33" s="242">
        <v>1954</v>
      </c>
      <c r="AA33" s="242">
        <v>1583</v>
      </c>
      <c r="AB33" s="242">
        <v>1616</v>
      </c>
      <c r="AC33" s="242">
        <v>1657</v>
      </c>
      <c r="AD33" s="81">
        <v>1728</v>
      </c>
    </row>
    <row r="34" spans="1:30" ht="12" customHeight="1">
      <c r="A34" s="71" t="s">
        <v>118</v>
      </c>
      <c r="B34" s="136"/>
      <c r="D34" s="30">
        <v>22184</v>
      </c>
      <c r="F34" s="92">
        <v>16407</v>
      </c>
      <c r="H34" s="92">
        <v>16569</v>
      </c>
      <c r="I34" s="30">
        <v>16405</v>
      </c>
      <c r="J34" s="30">
        <v>16735</v>
      </c>
      <c r="K34" s="30">
        <v>11739</v>
      </c>
      <c r="M34" s="92">
        <v>12449</v>
      </c>
      <c r="N34" s="30">
        <v>12591</v>
      </c>
      <c r="O34" s="30">
        <v>13195</v>
      </c>
      <c r="P34" s="30">
        <v>13109</v>
      </c>
      <c r="R34" s="92">
        <v>14354</v>
      </c>
      <c r="S34" s="30">
        <v>14525</v>
      </c>
      <c r="T34" s="30">
        <v>14889</v>
      </c>
      <c r="U34" s="30">
        <v>15572</v>
      </c>
      <c r="W34" s="92">
        <v>16124</v>
      </c>
      <c r="X34" s="242">
        <v>16442</v>
      </c>
      <c r="Y34" s="242">
        <v>17137</v>
      </c>
      <c r="Z34" s="242">
        <v>16894</v>
      </c>
      <c r="AA34" s="242">
        <v>17586</v>
      </c>
      <c r="AB34" s="242">
        <v>17596</v>
      </c>
      <c r="AC34" s="242">
        <v>18068</v>
      </c>
      <c r="AD34" s="81">
        <v>18694</v>
      </c>
    </row>
    <row r="35" spans="1:30" ht="12" customHeight="1">
      <c r="A35" s="489" t="s">
        <v>119</v>
      </c>
      <c r="B35" s="489"/>
      <c r="D35" s="30">
        <v>25302</v>
      </c>
      <c r="F35" s="92">
        <f>F31+F32+F34+F33</f>
        <v>20211</v>
      </c>
      <c r="H35" s="92">
        <f>H31+H32+H34+H33</f>
        <v>20321</v>
      </c>
      <c r="I35" s="30">
        <f>I31+I32+I34+I33</f>
        <v>20258</v>
      </c>
      <c r="J35" s="30">
        <f>J31+J32+J34+J33</f>
        <v>20529</v>
      </c>
      <c r="K35" s="30">
        <f>K31+K32+K34+K33</f>
        <v>15772</v>
      </c>
      <c r="M35" s="92">
        <v>16635</v>
      </c>
      <c r="N35" s="30">
        <f>N34+N33+N32+N31</f>
        <v>16963</v>
      </c>
      <c r="O35" s="30">
        <v>17706</v>
      </c>
      <c r="P35" s="30">
        <f>SUM(P31:P34)</f>
        <v>17694</v>
      </c>
      <c r="R35" s="92">
        <f>SUM(R31:R34)</f>
        <v>18111</v>
      </c>
      <c r="S35" s="30">
        <f>SUM(S31:S34)</f>
        <v>17983</v>
      </c>
      <c r="T35" s="30">
        <f>SUM(T31:T34)</f>
        <v>18524</v>
      </c>
      <c r="U35" s="30">
        <f>U31+U32+U33+U34</f>
        <v>19133</v>
      </c>
      <c r="W35" s="92">
        <f>W31+W32+W33+W34</f>
        <v>19348</v>
      </c>
      <c r="X35" s="242">
        <v>19871</v>
      </c>
      <c r="Y35" s="242">
        <f>Y31+Y32+Y33+Y34</f>
        <v>20215</v>
      </c>
      <c r="Z35" s="242">
        <v>20110</v>
      </c>
      <c r="AA35" s="242">
        <v>20373</v>
      </c>
      <c r="AB35" s="242">
        <v>20315</v>
      </c>
      <c r="AC35" s="242">
        <v>20939</v>
      </c>
      <c r="AD35" s="81">
        <v>20992</v>
      </c>
    </row>
    <row r="36" spans="1:30" ht="12" customHeight="1">
      <c r="A36" s="492" t="s">
        <v>284</v>
      </c>
      <c r="B36" s="492"/>
      <c r="C36" s="52"/>
      <c r="D36" s="30">
        <v>228</v>
      </c>
      <c r="F36" s="92">
        <v>203</v>
      </c>
      <c r="H36" s="92">
        <v>218</v>
      </c>
      <c r="I36" s="30">
        <v>218</v>
      </c>
      <c r="J36" s="30">
        <v>215</v>
      </c>
      <c r="K36" s="30">
        <v>139</v>
      </c>
      <c r="M36" s="92">
        <v>136</v>
      </c>
      <c r="N36" s="30">
        <v>136</v>
      </c>
      <c r="O36" s="30">
        <v>144</v>
      </c>
      <c r="P36" s="30">
        <v>91</v>
      </c>
      <c r="R36" s="92">
        <v>90</v>
      </c>
      <c r="S36" s="30">
        <v>91</v>
      </c>
      <c r="T36" s="30">
        <v>93</v>
      </c>
      <c r="U36" s="30">
        <v>92</v>
      </c>
      <c r="W36" s="92">
        <v>93</v>
      </c>
      <c r="X36" s="242">
        <v>93</v>
      </c>
      <c r="Y36" s="242">
        <v>95</v>
      </c>
      <c r="Z36" s="242">
        <v>92</v>
      </c>
      <c r="AA36" s="242">
        <v>90</v>
      </c>
      <c r="AB36" s="242">
        <v>89</v>
      </c>
      <c r="AC36" s="242">
        <v>90</v>
      </c>
      <c r="AD36" s="81">
        <v>89</v>
      </c>
    </row>
    <row r="37" spans="1:30" ht="12" customHeight="1">
      <c r="A37" s="490" t="s">
        <v>120</v>
      </c>
      <c r="B37" s="490"/>
      <c r="C37" s="135"/>
      <c r="D37" s="25">
        <v>25530</v>
      </c>
      <c r="F37" s="92">
        <f>F31+F32+F34+F36+F33</f>
        <v>20414</v>
      </c>
      <c r="H37" s="92">
        <f>H31+H32+H34+H36+H33</f>
        <v>20539</v>
      </c>
      <c r="I37" s="25">
        <f>I31+I32+I34+I36+I33</f>
        <v>20476</v>
      </c>
      <c r="J37" s="25">
        <f>J31+J32+J34+J36+J33</f>
        <v>20744</v>
      </c>
      <c r="K37" s="25">
        <f>K31+K32+K34+K36+K33</f>
        <v>15911</v>
      </c>
      <c r="M37" s="92">
        <f aca="true" t="shared" si="1" ref="M37:T37">M31+M32+M34+M36+M33</f>
        <v>16771</v>
      </c>
      <c r="N37" s="25">
        <f t="shared" si="1"/>
        <v>17099</v>
      </c>
      <c r="O37" s="25">
        <f t="shared" si="1"/>
        <v>17850</v>
      </c>
      <c r="P37" s="25">
        <f t="shared" si="1"/>
        <v>17785</v>
      </c>
      <c r="R37" s="92">
        <f t="shared" si="1"/>
        <v>18201</v>
      </c>
      <c r="S37" s="25">
        <f t="shared" si="1"/>
        <v>18074</v>
      </c>
      <c r="T37" s="25">
        <f t="shared" si="1"/>
        <v>18617</v>
      </c>
      <c r="U37" s="25">
        <f>U36+U35</f>
        <v>19225</v>
      </c>
      <c r="W37" s="88">
        <f>W36+W35</f>
        <v>19441</v>
      </c>
      <c r="X37" s="289">
        <f>X36+X35</f>
        <v>19964</v>
      </c>
      <c r="Y37" s="289">
        <f>Y36+Y35</f>
        <v>20310</v>
      </c>
      <c r="Z37" s="289">
        <v>20202</v>
      </c>
      <c r="AA37" s="289">
        <v>20463</v>
      </c>
      <c r="AB37" s="289">
        <v>20404</v>
      </c>
      <c r="AC37" s="289">
        <v>21029</v>
      </c>
      <c r="AD37" s="82">
        <v>21081</v>
      </c>
    </row>
    <row r="38" spans="1:30" ht="23.25" customHeight="1">
      <c r="A38" s="286"/>
      <c r="B38" s="286" t="s">
        <v>274</v>
      </c>
      <c r="D38" s="30">
        <v>2997</v>
      </c>
      <c r="F38" s="92">
        <v>4870</v>
      </c>
      <c r="H38" s="92">
        <v>4412</v>
      </c>
      <c r="I38" s="30">
        <v>5816</v>
      </c>
      <c r="J38" s="30">
        <v>6469</v>
      </c>
      <c r="K38" s="30">
        <v>6539</v>
      </c>
      <c r="M38" s="92">
        <v>5587</v>
      </c>
      <c r="N38" s="30">
        <v>5493</v>
      </c>
      <c r="O38" s="30">
        <v>5790</v>
      </c>
      <c r="P38" s="30">
        <v>6191</v>
      </c>
      <c r="R38" s="92">
        <v>5986</v>
      </c>
      <c r="S38" s="30">
        <v>7472</v>
      </c>
      <c r="T38" s="30">
        <v>7134</v>
      </c>
      <c r="U38" s="30">
        <v>6878</v>
      </c>
      <c r="W38" s="92">
        <v>6867</v>
      </c>
      <c r="X38" s="242">
        <v>7910</v>
      </c>
      <c r="Y38" s="242">
        <v>7795</v>
      </c>
      <c r="Z38" s="242">
        <v>7525</v>
      </c>
      <c r="AA38" s="242">
        <v>9218</v>
      </c>
      <c r="AB38" s="242">
        <v>7697</v>
      </c>
      <c r="AC38" s="242">
        <v>7093</v>
      </c>
      <c r="AD38" s="81">
        <v>6928</v>
      </c>
    </row>
    <row r="39" spans="1:30" ht="12" customHeight="1">
      <c r="A39" s="71" t="s">
        <v>121</v>
      </c>
      <c r="B39" s="136"/>
      <c r="D39" s="30">
        <v>123</v>
      </c>
      <c r="F39" s="92">
        <v>159</v>
      </c>
      <c r="H39" s="92">
        <v>154</v>
      </c>
      <c r="I39" s="30">
        <v>211</v>
      </c>
      <c r="J39" s="30">
        <v>125</v>
      </c>
      <c r="K39" s="30">
        <v>256</v>
      </c>
      <c r="M39" s="92">
        <v>153</v>
      </c>
      <c r="N39" s="30">
        <v>118</v>
      </c>
      <c r="O39" s="30">
        <v>169</v>
      </c>
      <c r="P39" s="30">
        <v>208</v>
      </c>
      <c r="R39" s="92">
        <v>178</v>
      </c>
      <c r="S39" s="30">
        <v>204</v>
      </c>
      <c r="T39" s="30">
        <v>183</v>
      </c>
      <c r="U39" s="30">
        <v>162</v>
      </c>
      <c r="W39" s="92">
        <v>171</v>
      </c>
      <c r="X39" s="242">
        <v>127</v>
      </c>
      <c r="Y39" s="242">
        <v>395</v>
      </c>
      <c r="Z39" s="242">
        <v>183</v>
      </c>
      <c r="AA39" s="242">
        <v>588</v>
      </c>
      <c r="AB39" s="242">
        <v>574</v>
      </c>
      <c r="AC39" s="242">
        <v>825</v>
      </c>
      <c r="AD39" s="81">
        <v>1006</v>
      </c>
    </row>
    <row r="40" spans="1:30" ht="12" customHeight="1">
      <c r="A40" s="71" t="s">
        <v>122</v>
      </c>
      <c r="B40" s="136"/>
      <c r="D40" s="30">
        <v>2011</v>
      </c>
      <c r="F40" s="92">
        <v>1979</v>
      </c>
      <c r="H40" s="92">
        <v>2033</v>
      </c>
      <c r="I40" s="30">
        <v>2071</v>
      </c>
      <c r="J40" s="30">
        <v>2012</v>
      </c>
      <c r="K40" s="30">
        <v>1860</v>
      </c>
      <c r="M40" s="92">
        <v>2061</v>
      </c>
      <c r="N40" s="30">
        <v>2071</v>
      </c>
      <c r="O40" s="30">
        <v>2063</v>
      </c>
      <c r="P40" s="30">
        <v>2063</v>
      </c>
      <c r="R40" s="92">
        <v>2234</v>
      </c>
      <c r="S40" s="30">
        <v>2328</v>
      </c>
      <c r="T40" s="30">
        <v>2318</v>
      </c>
      <c r="U40" s="30">
        <v>2447</v>
      </c>
      <c r="W40" s="92">
        <v>2534</v>
      </c>
      <c r="X40" s="242">
        <v>2649</v>
      </c>
      <c r="Y40" s="242">
        <v>2573</v>
      </c>
      <c r="Z40" s="242">
        <v>2613</v>
      </c>
      <c r="AA40" s="242">
        <v>2772</v>
      </c>
      <c r="AB40" s="242">
        <v>2874</v>
      </c>
      <c r="AC40" s="242">
        <v>2986</v>
      </c>
      <c r="AD40" s="81">
        <v>3016</v>
      </c>
    </row>
    <row r="41" spans="1:30" ht="12" customHeight="1">
      <c r="A41" s="71" t="s">
        <v>123</v>
      </c>
      <c r="B41" s="136"/>
      <c r="D41" s="30">
        <v>1466</v>
      </c>
      <c r="F41" s="92">
        <v>1466</v>
      </c>
      <c r="H41" s="92">
        <v>1585</v>
      </c>
      <c r="I41" s="30">
        <v>1583</v>
      </c>
      <c r="J41" s="30">
        <v>1554</v>
      </c>
      <c r="K41" s="30">
        <v>1487</v>
      </c>
      <c r="M41" s="92">
        <v>1502</v>
      </c>
      <c r="N41" s="30">
        <v>1474</v>
      </c>
      <c r="O41" s="30">
        <v>1403</v>
      </c>
      <c r="P41" s="30">
        <v>1351</v>
      </c>
      <c r="R41" s="92">
        <v>1328</v>
      </c>
      <c r="S41" s="30">
        <v>1418</v>
      </c>
      <c r="T41" s="30">
        <v>1357</v>
      </c>
      <c r="U41" s="30">
        <v>1564</v>
      </c>
      <c r="W41" s="92">
        <v>1593</v>
      </c>
      <c r="X41" s="242">
        <v>1712</v>
      </c>
      <c r="Y41" s="242">
        <v>1944</v>
      </c>
      <c r="Z41" s="242">
        <v>1774</v>
      </c>
      <c r="AA41" s="242">
        <v>1855</v>
      </c>
      <c r="AB41" s="242">
        <v>1870</v>
      </c>
      <c r="AC41" s="242">
        <v>1862</v>
      </c>
      <c r="AD41" s="81">
        <v>1849</v>
      </c>
    </row>
    <row r="42" spans="1:30" ht="12" customHeight="1">
      <c r="A42" s="71" t="s">
        <v>124</v>
      </c>
      <c r="B42" s="136"/>
      <c r="D42" s="30">
        <v>1676</v>
      </c>
      <c r="F42" s="92">
        <v>714</v>
      </c>
      <c r="H42" s="92">
        <v>689</v>
      </c>
      <c r="I42" s="30">
        <v>692</v>
      </c>
      <c r="J42" s="30">
        <v>679</v>
      </c>
      <c r="K42" s="30">
        <v>563</v>
      </c>
      <c r="M42" s="92">
        <v>516</v>
      </c>
      <c r="N42" s="30">
        <v>540</v>
      </c>
      <c r="O42" s="30">
        <v>568</v>
      </c>
      <c r="P42" s="30">
        <v>347</v>
      </c>
      <c r="R42" s="92">
        <v>431</v>
      </c>
      <c r="S42" s="30">
        <v>495</v>
      </c>
      <c r="T42" s="30">
        <v>447</v>
      </c>
      <c r="U42" s="30">
        <v>498</v>
      </c>
      <c r="W42" s="92">
        <v>587</v>
      </c>
      <c r="X42" s="242">
        <v>404</v>
      </c>
      <c r="Y42" s="242">
        <v>422</v>
      </c>
      <c r="Z42" s="242">
        <v>445</v>
      </c>
      <c r="AA42" s="242">
        <v>397</v>
      </c>
      <c r="AB42" s="242">
        <v>428</v>
      </c>
      <c r="AC42" s="242">
        <v>544</v>
      </c>
      <c r="AD42" s="81">
        <v>442</v>
      </c>
    </row>
    <row r="43" spans="1:30" ht="12" customHeight="1">
      <c r="A43" s="71" t="s">
        <v>125</v>
      </c>
      <c r="B43" s="136"/>
      <c r="D43" s="30">
        <v>1019</v>
      </c>
      <c r="F43" s="92">
        <v>965</v>
      </c>
      <c r="H43" s="92">
        <v>919</v>
      </c>
      <c r="I43" s="30">
        <v>953</v>
      </c>
      <c r="J43" s="30">
        <v>910</v>
      </c>
      <c r="K43" s="30">
        <v>960</v>
      </c>
      <c r="M43" s="92">
        <v>906</v>
      </c>
      <c r="N43" s="30">
        <v>787</v>
      </c>
      <c r="O43" s="30">
        <v>761</v>
      </c>
      <c r="P43" s="30">
        <v>718</v>
      </c>
      <c r="R43" s="92">
        <v>617</v>
      </c>
      <c r="S43" s="30">
        <v>605</v>
      </c>
      <c r="T43" s="30">
        <v>610</v>
      </c>
      <c r="U43" s="30">
        <v>598</v>
      </c>
      <c r="W43" s="92">
        <v>603</v>
      </c>
      <c r="X43" s="242">
        <v>598</v>
      </c>
      <c r="Y43" s="242">
        <v>623</v>
      </c>
      <c r="Z43" s="242">
        <v>631</v>
      </c>
      <c r="AA43" s="242">
        <v>641</v>
      </c>
      <c r="AB43" s="242">
        <v>627</v>
      </c>
      <c r="AC43" s="242">
        <v>611</v>
      </c>
      <c r="AD43" s="81">
        <v>551</v>
      </c>
    </row>
    <row r="44" spans="1:30" ht="12" customHeight="1">
      <c r="A44" s="489" t="s">
        <v>126</v>
      </c>
      <c r="B44" s="489"/>
      <c r="D44" s="30">
        <v>9292</v>
      </c>
      <c r="F44" s="92">
        <f>+F38+F39+F42+F40+F43+F41</f>
        <v>10153</v>
      </c>
      <c r="H44" s="92">
        <f>+H38+H39+H42+H40+H43+H41</f>
        <v>9792</v>
      </c>
      <c r="I44" s="30">
        <f>+I38+I39+I42+I40+I43+I41</f>
        <v>11326</v>
      </c>
      <c r="J44" s="30">
        <f>+J38+J39+J42+J40+J43+J41</f>
        <v>11749</v>
      </c>
      <c r="K44" s="30">
        <f>+K38+K39+K42+K40+K43+K41</f>
        <v>11665</v>
      </c>
      <c r="M44" s="92">
        <f aca="true" t="shared" si="2" ref="M44:T44">+M38+M39+M42+M40+M43+M41</f>
        <v>10725</v>
      </c>
      <c r="N44" s="30">
        <f t="shared" si="2"/>
        <v>10483</v>
      </c>
      <c r="O44" s="30">
        <f t="shared" si="2"/>
        <v>10754</v>
      </c>
      <c r="P44" s="30">
        <f t="shared" si="2"/>
        <v>10878</v>
      </c>
      <c r="R44" s="92">
        <f t="shared" si="2"/>
        <v>10774</v>
      </c>
      <c r="S44" s="30">
        <f t="shared" si="2"/>
        <v>12522</v>
      </c>
      <c r="T44" s="30">
        <f t="shared" si="2"/>
        <v>12049</v>
      </c>
      <c r="U44" s="30">
        <f>U38+U39+U40+U41+U42+U43</f>
        <v>12147</v>
      </c>
      <c r="W44" s="92">
        <f>W38+W39+W40+W41+W42+W43</f>
        <v>12355</v>
      </c>
      <c r="X44" s="242">
        <f>X38+X39+X40+X41+X42+X43</f>
        <v>13400</v>
      </c>
      <c r="Y44" s="242">
        <f>Y38+Y39+Y40+Y41+Y42+Y43</f>
        <v>13752</v>
      </c>
      <c r="Z44" s="242">
        <v>13171</v>
      </c>
      <c r="AA44" s="242">
        <v>15471</v>
      </c>
      <c r="AB44" s="242">
        <v>14070</v>
      </c>
      <c r="AC44" s="242">
        <v>13921</v>
      </c>
      <c r="AD44" s="81">
        <v>13792</v>
      </c>
    </row>
    <row r="45" spans="1:30" ht="25.5" customHeight="1">
      <c r="A45" s="286"/>
      <c r="B45" s="286" t="s">
        <v>274</v>
      </c>
      <c r="D45" s="30">
        <v>1813</v>
      </c>
      <c r="F45" s="92">
        <v>2145</v>
      </c>
      <c r="H45" s="92">
        <v>3006</v>
      </c>
      <c r="I45" s="30">
        <v>2295</v>
      </c>
      <c r="J45" s="30">
        <v>1460</v>
      </c>
      <c r="K45" s="30">
        <v>1559</v>
      </c>
      <c r="M45" s="92">
        <v>2087</v>
      </c>
      <c r="N45" s="30">
        <v>1641</v>
      </c>
      <c r="O45" s="30">
        <v>1435</v>
      </c>
      <c r="P45" s="30">
        <v>965</v>
      </c>
      <c r="R45" s="92">
        <v>1673</v>
      </c>
      <c r="S45" s="30">
        <v>1151</v>
      </c>
      <c r="T45" s="30">
        <v>1087</v>
      </c>
      <c r="U45" s="30">
        <v>1071</v>
      </c>
      <c r="W45" s="92">
        <v>1795</v>
      </c>
      <c r="X45" s="242">
        <v>1050</v>
      </c>
      <c r="Y45" s="242">
        <v>1346</v>
      </c>
      <c r="Z45" s="242">
        <v>348</v>
      </c>
      <c r="AA45" s="242">
        <v>404</v>
      </c>
      <c r="AB45" s="242">
        <v>1201</v>
      </c>
      <c r="AC45" s="242">
        <v>404</v>
      </c>
      <c r="AD45" s="81">
        <v>407</v>
      </c>
    </row>
    <row r="46" spans="1:30" ht="12" customHeight="1">
      <c r="A46" s="71" t="s">
        <v>121</v>
      </c>
      <c r="B46" s="136"/>
      <c r="D46" s="30">
        <v>37</v>
      </c>
      <c r="F46" s="92">
        <v>48</v>
      </c>
      <c r="G46" s="183"/>
      <c r="H46" s="92">
        <v>34</v>
      </c>
      <c r="I46" s="30">
        <v>86</v>
      </c>
      <c r="J46" s="30">
        <v>59</v>
      </c>
      <c r="K46" s="30">
        <v>215</v>
      </c>
      <c r="L46" s="183"/>
      <c r="M46" s="92">
        <v>73</v>
      </c>
      <c r="N46" s="30">
        <v>35</v>
      </c>
      <c r="O46" s="30">
        <v>51</v>
      </c>
      <c r="P46" s="30">
        <v>110</v>
      </c>
      <c r="Q46" s="183"/>
      <c r="R46" s="92">
        <v>75</v>
      </c>
      <c r="S46" s="30">
        <v>51</v>
      </c>
      <c r="T46" s="30">
        <v>45</v>
      </c>
      <c r="U46" s="30">
        <v>43</v>
      </c>
      <c r="W46" s="92">
        <v>55</v>
      </c>
      <c r="X46" s="242">
        <v>47</v>
      </c>
      <c r="Y46" s="242">
        <v>66</v>
      </c>
      <c r="Z46" s="242">
        <v>91</v>
      </c>
      <c r="AA46" s="242">
        <v>341</v>
      </c>
      <c r="AB46" s="242">
        <v>205</v>
      </c>
      <c r="AC46" s="242">
        <v>252</v>
      </c>
      <c r="AD46" s="81">
        <v>688</v>
      </c>
    </row>
    <row r="47" spans="1:30" ht="12" customHeight="1">
      <c r="A47" s="71" t="s">
        <v>127</v>
      </c>
      <c r="B47" s="136"/>
      <c r="D47" s="30">
        <v>1209</v>
      </c>
      <c r="F47" s="92">
        <v>1418</v>
      </c>
      <c r="H47" s="92">
        <v>1265</v>
      </c>
      <c r="I47" s="30">
        <v>1199</v>
      </c>
      <c r="J47" s="30">
        <v>1234</v>
      </c>
      <c r="K47" s="30">
        <v>1433</v>
      </c>
      <c r="M47" s="92">
        <v>1354</v>
      </c>
      <c r="N47" s="30">
        <v>1613</v>
      </c>
      <c r="O47" s="30">
        <v>1587</v>
      </c>
      <c r="P47" s="30">
        <v>1823</v>
      </c>
      <c r="R47" s="92">
        <v>1476</v>
      </c>
      <c r="S47" s="30">
        <v>1394</v>
      </c>
      <c r="T47" s="30">
        <v>1657</v>
      </c>
      <c r="U47" s="30">
        <v>2053</v>
      </c>
      <c r="W47" s="92">
        <v>1917</v>
      </c>
      <c r="X47" s="242">
        <v>1882</v>
      </c>
      <c r="Y47" s="242">
        <v>1656</v>
      </c>
      <c r="Z47" s="242">
        <v>2766</v>
      </c>
      <c r="AA47" s="242">
        <v>2879</v>
      </c>
      <c r="AB47" s="242">
        <v>2856</v>
      </c>
      <c r="AC47" s="242">
        <v>3146</v>
      </c>
      <c r="AD47" s="81">
        <v>3593</v>
      </c>
    </row>
    <row r="48" spans="1:30" ht="12" customHeight="1">
      <c r="A48" s="71" t="s">
        <v>122</v>
      </c>
      <c r="B48" s="136"/>
      <c r="D48" s="30">
        <v>765</v>
      </c>
      <c r="F48" s="92">
        <v>760</v>
      </c>
      <c r="H48" s="92">
        <v>817</v>
      </c>
      <c r="I48" s="30">
        <v>952</v>
      </c>
      <c r="J48" s="30">
        <v>761</v>
      </c>
      <c r="K48" s="30">
        <v>787</v>
      </c>
      <c r="M48" s="92">
        <v>917</v>
      </c>
      <c r="N48" s="30">
        <v>754</v>
      </c>
      <c r="O48" s="30">
        <v>865</v>
      </c>
      <c r="P48" s="30">
        <v>842</v>
      </c>
      <c r="R48" s="92">
        <v>1110</v>
      </c>
      <c r="S48" s="30">
        <v>820</v>
      </c>
      <c r="T48" s="30">
        <v>932</v>
      </c>
      <c r="U48" s="30">
        <v>808</v>
      </c>
      <c r="W48" s="92">
        <v>891</v>
      </c>
      <c r="X48" s="242">
        <v>1036</v>
      </c>
      <c r="Y48" s="242">
        <v>1124</v>
      </c>
      <c r="Z48" s="242">
        <v>1150</v>
      </c>
      <c r="AA48" s="242">
        <v>1211</v>
      </c>
      <c r="AB48" s="242">
        <v>1178</v>
      </c>
      <c r="AC48" s="242">
        <v>1189</v>
      </c>
      <c r="AD48" s="81">
        <v>1313</v>
      </c>
    </row>
    <row r="49" spans="1:30" ht="12" customHeight="1">
      <c r="A49" s="71" t="s">
        <v>131</v>
      </c>
      <c r="B49" s="136"/>
      <c r="D49" s="30">
        <v>751</v>
      </c>
      <c r="F49" s="92">
        <v>762</v>
      </c>
      <c r="H49" s="92">
        <v>626</v>
      </c>
      <c r="I49" s="30">
        <v>837</v>
      </c>
      <c r="J49" s="30">
        <v>719</v>
      </c>
      <c r="K49" s="30">
        <v>786</v>
      </c>
      <c r="M49" s="92">
        <v>595</v>
      </c>
      <c r="N49" s="30">
        <v>605</v>
      </c>
      <c r="O49" s="30">
        <v>457</v>
      </c>
      <c r="P49" s="30">
        <v>630</v>
      </c>
      <c r="R49" s="92">
        <v>623</v>
      </c>
      <c r="S49" s="30">
        <v>738</v>
      </c>
      <c r="T49" s="30">
        <v>505</v>
      </c>
      <c r="U49" s="30">
        <v>585</v>
      </c>
      <c r="W49" s="92">
        <v>678</v>
      </c>
      <c r="X49" s="242">
        <v>453</v>
      </c>
      <c r="Y49" s="242">
        <v>530</v>
      </c>
      <c r="Z49" s="242">
        <v>433</v>
      </c>
      <c r="AA49" s="242">
        <v>422</v>
      </c>
      <c r="AB49" s="242">
        <v>411</v>
      </c>
      <c r="AC49" s="242">
        <v>545</v>
      </c>
      <c r="AD49" s="81">
        <v>537</v>
      </c>
    </row>
    <row r="50" spans="1:30" ht="12" customHeight="1">
      <c r="A50" s="71" t="s">
        <v>125</v>
      </c>
      <c r="B50" s="477"/>
      <c r="D50" s="30">
        <v>977</v>
      </c>
      <c r="F50" s="92">
        <v>1064</v>
      </c>
      <c r="H50" s="92">
        <v>1019</v>
      </c>
      <c r="I50" s="30">
        <v>1240</v>
      </c>
      <c r="J50" s="30">
        <v>1165</v>
      </c>
      <c r="K50" s="30">
        <v>1086</v>
      </c>
      <c r="M50" s="92">
        <v>1107</v>
      </c>
      <c r="N50" s="30">
        <v>1271</v>
      </c>
      <c r="O50" s="30">
        <v>1307</v>
      </c>
      <c r="P50" s="30">
        <v>1089</v>
      </c>
      <c r="R50" s="92">
        <v>972</v>
      </c>
      <c r="S50" s="30">
        <f>1038+283</f>
        <v>1321</v>
      </c>
      <c r="T50" s="30">
        <f>1042+287</f>
        <v>1329</v>
      </c>
      <c r="U50" s="30">
        <f>271+1034</f>
        <v>1305</v>
      </c>
      <c r="W50" s="92">
        <f>1121+265</f>
        <v>1386</v>
      </c>
      <c r="X50" s="242">
        <f>162+1051</f>
        <v>1213</v>
      </c>
      <c r="Y50" s="242">
        <f>1167+148</f>
        <v>1315</v>
      </c>
      <c r="Z50" s="242">
        <f>1026+222</f>
        <v>1248</v>
      </c>
      <c r="AA50" s="242">
        <f>203+1202</f>
        <v>1405</v>
      </c>
      <c r="AB50" s="242">
        <f>193+1066</f>
        <v>1259</v>
      </c>
      <c r="AC50" s="242">
        <v>1226</v>
      </c>
      <c r="AD50" s="81">
        <v>1364</v>
      </c>
    </row>
    <row r="51" spans="1:30" ht="12" customHeight="1">
      <c r="A51" s="71" t="s">
        <v>296</v>
      </c>
      <c r="B51" s="359"/>
      <c r="D51" s="30">
        <v>0</v>
      </c>
      <c r="F51" s="92">
        <v>0</v>
      </c>
      <c r="H51" s="92">
        <v>0</v>
      </c>
      <c r="I51" s="30">
        <v>0</v>
      </c>
      <c r="J51" s="30">
        <v>0</v>
      </c>
      <c r="K51" s="30">
        <v>0</v>
      </c>
      <c r="M51" s="92">
        <v>0</v>
      </c>
      <c r="N51" s="30">
        <v>0</v>
      </c>
      <c r="O51" s="30">
        <v>0</v>
      </c>
      <c r="P51" s="30">
        <v>0</v>
      </c>
      <c r="R51" s="92">
        <v>0</v>
      </c>
      <c r="S51" s="30">
        <v>0</v>
      </c>
      <c r="T51" s="30">
        <v>0</v>
      </c>
      <c r="U51" s="30">
        <v>0</v>
      </c>
      <c r="W51" s="92">
        <v>0</v>
      </c>
      <c r="X51" s="242">
        <v>0</v>
      </c>
      <c r="Y51" s="242">
        <v>0</v>
      </c>
      <c r="Z51" s="242">
        <v>0</v>
      </c>
      <c r="AA51" s="242">
        <v>0</v>
      </c>
      <c r="AB51" s="242">
        <v>0</v>
      </c>
      <c r="AC51" s="242">
        <v>4</v>
      </c>
      <c r="AD51" s="81">
        <v>5</v>
      </c>
    </row>
    <row r="52" spans="1:30" ht="12" customHeight="1">
      <c r="A52" s="489" t="s">
        <v>128</v>
      </c>
      <c r="B52" s="489"/>
      <c r="D52" s="30">
        <v>5552</v>
      </c>
      <c r="F52" s="92">
        <f>F45+F46+F47+F48+F49+F50</f>
        <v>6197</v>
      </c>
      <c r="H52" s="92">
        <f>H45+H46+H47+H48+H49+H50</f>
        <v>6767</v>
      </c>
      <c r="I52" s="30">
        <f>I45+I46+I47+I48+I49+I50</f>
        <v>6609</v>
      </c>
      <c r="J52" s="30">
        <f>J45+J46+J47+J48+J49+J50</f>
        <v>5398</v>
      </c>
      <c r="K52" s="30">
        <f>K45+K46+K47+K48+K49+K50</f>
        <v>5866</v>
      </c>
      <c r="M52" s="92">
        <f aca="true" t="shared" si="3" ref="M52:T52">M45+M46+M47+M48+M49+M50</f>
        <v>6133</v>
      </c>
      <c r="N52" s="30">
        <f t="shared" si="3"/>
        <v>5919</v>
      </c>
      <c r="O52" s="30">
        <f t="shared" si="3"/>
        <v>5702</v>
      </c>
      <c r="P52" s="30">
        <f t="shared" si="3"/>
        <v>5459</v>
      </c>
      <c r="R52" s="92">
        <f t="shared" si="3"/>
        <v>5929</v>
      </c>
      <c r="S52" s="30">
        <f t="shared" si="3"/>
        <v>5475</v>
      </c>
      <c r="T52" s="30">
        <f t="shared" si="3"/>
        <v>5555</v>
      </c>
      <c r="U52" s="30">
        <f>U45+U46+U47+U48+U49+U50</f>
        <v>5865</v>
      </c>
      <c r="W52" s="92">
        <f>W45+W46+W47+W48+W49+W50</f>
        <v>6722</v>
      </c>
      <c r="X52" s="242">
        <f>X45+X46+X47+X48+X49+X50</f>
        <v>5681</v>
      </c>
      <c r="Y52" s="242">
        <f>Y45+Y46+Y47+Y48+Y49+Y50</f>
        <v>6037</v>
      </c>
      <c r="Z52" s="242">
        <v>6036</v>
      </c>
      <c r="AA52" s="242">
        <v>6662</v>
      </c>
      <c r="AB52" s="242">
        <v>7110</v>
      </c>
      <c r="AC52" s="242">
        <v>6766</v>
      </c>
      <c r="AD52" s="81">
        <v>7907</v>
      </c>
    </row>
    <row r="53" spans="1:30" ht="12" customHeight="1">
      <c r="A53" s="490" t="s">
        <v>129</v>
      </c>
      <c r="B53" s="490"/>
      <c r="C53" s="135"/>
      <c r="D53" s="25">
        <v>14844</v>
      </c>
      <c r="F53" s="92">
        <f>F52+F44</f>
        <v>16350</v>
      </c>
      <c r="H53" s="92">
        <f>H52+H44</f>
        <v>16559</v>
      </c>
      <c r="I53" s="25">
        <f>I52+I44</f>
        <v>17935</v>
      </c>
      <c r="J53" s="25">
        <f>J52+J44</f>
        <v>17147</v>
      </c>
      <c r="K53" s="25">
        <f>K52+K44</f>
        <v>17531</v>
      </c>
      <c r="M53" s="92">
        <f aca="true" t="shared" si="4" ref="M53:T53">M52+M44</f>
        <v>16858</v>
      </c>
      <c r="N53" s="25">
        <f t="shared" si="4"/>
        <v>16402</v>
      </c>
      <c r="O53" s="25">
        <f t="shared" si="4"/>
        <v>16456</v>
      </c>
      <c r="P53" s="25">
        <f t="shared" si="4"/>
        <v>16337</v>
      </c>
      <c r="R53" s="92">
        <f t="shared" si="4"/>
        <v>16703</v>
      </c>
      <c r="S53" s="25">
        <f t="shared" si="4"/>
        <v>17997</v>
      </c>
      <c r="T53" s="25">
        <f t="shared" si="4"/>
        <v>17604</v>
      </c>
      <c r="U53" s="25">
        <f>U52+U44</f>
        <v>18012</v>
      </c>
      <c r="W53" s="88">
        <f>W52+W44</f>
        <v>19077</v>
      </c>
      <c r="X53" s="289">
        <f>X52+X44</f>
        <v>19081</v>
      </c>
      <c r="Y53" s="289">
        <f>Y52+Y44</f>
        <v>19789</v>
      </c>
      <c r="Z53" s="289">
        <v>19207</v>
      </c>
      <c r="AA53" s="289">
        <v>22133</v>
      </c>
      <c r="AB53" s="289">
        <v>21180</v>
      </c>
      <c r="AC53" s="289">
        <v>20687</v>
      </c>
      <c r="AD53" s="82">
        <v>21699</v>
      </c>
    </row>
    <row r="54" spans="1:30" ht="12" customHeight="1">
      <c r="A54" s="490" t="s">
        <v>130</v>
      </c>
      <c r="B54" s="490"/>
      <c r="C54" s="135"/>
      <c r="D54" s="25">
        <v>40374</v>
      </c>
      <c r="F54" s="88">
        <f>F53+F37</f>
        <v>36764</v>
      </c>
      <c r="H54" s="88">
        <f>H53+H37</f>
        <v>37098</v>
      </c>
      <c r="I54" s="25">
        <f>I53+I37</f>
        <v>38411</v>
      </c>
      <c r="J54" s="25">
        <f>J53+J37</f>
        <v>37891</v>
      </c>
      <c r="K54" s="25">
        <f>K53+K37</f>
        <v>33442</v>
      </c>
      <c r="M54" s="88">
        <f aca="true" t="shared" si="5" ref="M54:T54">M53+M37</f>
        <v>33629</v>
      </c>
      <c r="N54" s="25">
        <f t="shared" si="5"/>
        <v>33501</v>
      </c>
      <c r="O54" s="25">
        <f t="shared" si="5"/>
        <v>34306</v>
      </c>
      <c r="P54" s="25">
        <f t="shared" si="5"/>
        <v>34122</v>
      </c>
      <c r="R54" s="88">
        <f t="shared" si="5"/>
        <v>34904</v>
      </c>
      <c r="S54" s="25">
        <f t="shared" si="5"/>
        <v>36071</v>
      </c>
      <c r="T54" s="25">
        <f t="shared" si="5"/>
        <v>36221</v>
      </c>
      <c r="U54" s="25">
        <f>U53+U37</f>
        <v>37237</v>
      </c>
      <c r="W54" s="88">
        <f>W53+W37</f>
        <v>38518</v>
      </c>
      <c r="X54" s="289">
        <f>X53+X37</f>
        <v>39045</v>
      </c>
      <c r="Y54" s="289">
        <f>Y53+Y37</f>
        <v>40099</v>
      </c>
      <c r="Z54" s="289">
        <v>39409</v>
      </c>
      <c r="AA54" s="289">
        <v>42596</v>
      </c>
      <c r="AB54" s="289">
        <v>41584</v>
      </c>
      <c r="AC54" s="289">
        <v>41716</v>
      </c>
      <c r="AD54" s="82">
        <v>42780</v>
      </c>
    </row>
    <row r="55" spans="4:11" ht="12" customHeight="1">
      <c r="D55" s="78"/>
      <c r="F55" s="78"/>
      <c r="H55" s="78"/>
      <c r="I55" s="78"/>
      <c r="J55" s="78"/>
      <c r="K55" s="78"/>
    </row>
  </sheetData>
  <sheetProtection/>
  <mergeCells count="24">
    <mergeCell ref="A1:B1"/>
    <mergeCell ref="A20:B20"/>
    <mergeCell ref="A2:B2"/>
    <mergeCell ref="A6:B6"/>
    <mergeCell ref="A9:B9"/>
    <mergeCell ref="A12:B12"/>
    <mergeCell ref="A16:B16"/>
    <mergeCell ref="A19:B19"/>
    <mergeCell ref="A21:B21"/>
    <mergeCell ref="A22:B22"/>
    <mergeCell ref="A23:B23"/>
    <mergeCell ref="A24:B24"/>
    <mergeCell ref="A25:B25"/>
    <mergeCell ref="A44:B44"/>
    <mergeCell ref="A26:B26"/>
    <mergeCell ref="A52:B52"/>
    <mergeCell ref="A53:B53"/>
    <mergeCell ref="A54:B54"/>
    <mergeCell ref="A27:B27"/>
    <mergeCell ref="A28:B28"/>
    <mergeCell ref="A30:B30"/>
    <mergeCell ref="A35:B35"/>
    <mergeCell ref="A36:B36"/>
    <mergeCell ref="A37:B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1"/>
  <ignoredErrors>
    <ignoredError sqref="P6 P2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1"/>
  <sheetViews>
    <sheetView showGridLines="0" zoomScale="130" zoomScaleNormal="130" zoomScalePageLayoutView="0" workbookViewId="0" topLeftCell="A1">
      <pane xSplit="1" topLeftCell="AL1" activePane="topRight" state="frozen"/>
      <selection pane="topLeft" activeCell="A1" sqref="A1"/>
      <selection pane="topRight" activeCell="AS29" sqref="AS29"/>
    </sheetView>
  </sheetViews>
  <sheetFormatPr defaultColWidth="8.7109375" defaultRowHeight="12.75"/>
  <cols>
    <col min="1" max="1" width="58.00390625" style="49" customWidth="1"/>
    <col min="2" max="2" width="0.5625" style="49" customWidth="1"/>
    <col min="3" max="7" width="10.57421875" style="31" hidden="1" customWidth="1"/>
    <col min="8" max="8" width="0.9921875" style="31" hidden="1" customWidth="1"/>
    <col min="9" max="12" width="10.57421875" style="31" hidden="1" customWidth="1"/>
    <col min="13" max="13" width="10.57421875" style="49" hidden="1" customWidth="1"/>
    <col min="14" max="14" width="1.7109375" style="49" hidden="1" customWidth="1"/>
    <col min="15" max="19" width="10.57421875" style="49" hidden="1" customWidth="1"/>
    <col min="20" max="20" width="0.9921875" style="49" hidden="1" customWidth="1"/>
    <col min="21" max="25" width="10.57421875" style="49" hidden="1" customWidth="1"/>
    <col min="26" max="26" width="0.9921875" style="49" hidden="1" customWidth="1"/>
    <col min="27" max="27" width="6.8515625" style="49" bestFit="1" customWidth="1"/>
    <col min="28" max="28" width="6.57421875" style="49" customWidth="1"/>
    <col min="29" max="30" width="6.8515625" style="49" bestFit="1" customWidth="1"/>
    <col min="31" max="31" width="7.57421875" style="49" bestFit="1" customWidth="1"/>
    <col min="32" max="32" width="0.9921875" style="49" customWidth="1"/>
    <col min="33" max="36" width="6.8515625" style="49" bestFit="1" customWidth="1"/>
    <col min="37" max="37" width="7.57421875" style="315" bestFit="1" customWidth="1"/>
    <col min="38" max="38" width="1.57421875" style="49" customWidth="1"/>
    <col min="39" max="39" width="6.8515625" style="315" bestFit="1" customWidth="1"/>
    <col min="40" max="40" width="6.8515625" style="341" bestFit="1" customWidth="1"/>
    <col min="41" max="41" width="7.57421875" style="49" customWidth="1"/>
    <col min="42" max="42" width="6.8515625" style="49" bestFit="1" customWidth="1"/>
    <col min="43" max="16384" width="8.7109375" style="49" customWidth="1"/>
  </cols>
  <sheetData>
    <row r="1" spans="1:2" ht="36" customHeight="1">
      <c r="A1" s="373" t="s">
        <v>316</v>
      </c>
      <c r="B1" s="15"/>
    </row>
    <row r="2" spans="3:40" s="68" customFormat="1" ht="18" customHeight="1">
      <c r="C2" s="13"/>
      <c r="D2" s="13"/>
      <c r="E2" s="13"/>
      <c r="F2" s="13"/>
      <c r="G2" s="13"/>
      <c r="H2" s="13"/>
      <c r="I2" s="13"/>
      <c r="J2" s="13"/>
      <c r="K2" s="13"/>
      <c r="L2" s="13"/>
      <c r="AK2" s="316"/>
      <c r="AM2" s="316"/>
      <c r="AN2" s="342"/>
    </row>
    <row r="3" spans="1:43" s="218" customFormat="1" ht="12" customHeight="1">
      <c r="A3" s="17" t="s">
        <v>50</v>
      </c>
      <c r="B3" s="17"/>
      <c r="C3" s="215" t="s">
        <v>3</v>
      </c>
      <c r="D3" s="215" t="s">
        <v>4</v>
      </c>
      <c r="E3" s="215" t="s">
        <v>5</v>
      </c>
      <c r="F3" s="215" t="s">
        <v>6</v>
      </c>
      <c r="G3" s="215">
        <v>2014</v>
      </c>
      <c r="H3" s="216"/>
      <c r="I3" s="215" t="s">
        <v>7</v>
      </c>
      <c r="J3" s="215" t="s">
        <v>8</v>
      </c>
      <c r="K3" s="215" t="s">
        <v>9</v>
      </c>
      <c r="L3" s="215" t="s">
        <v>10</v>
      </c>
      <c r="M3" s="215">
        <v>2015</v>
      </c>
      <c r="N3" s="217"/>
      <c r="O3" s="215" t="s">
        <v>11</v>
      </c>
      <c r="P3" s="215" t="s">
        <v>12</v>
      </c>
      <c r="Q3" s="215" t="s">
        <v>13</v>
      </c>
      <c r="R3" s="215" t="s">
        <v>14</v>
      </c>
      <c r="S3" s="215">
        <v>2016</v>
      </c>
      <c r="T3" s="52"/>
      <c r="U3" s="215" t="s">
        <v>55</v>
      </c>
      <c r="V3" s="215" t="s">
        <v>56</v>
      </c>
      <c r="W3" s="215" t="s">
        <v>60</v>
      </c>
      <c r="X3" s="215" t="s">
        <v>61</v>
      </c>
      <c r="Y3" s="215">
        <v>2017</v>
      </c>
      <c r="Z3" s="217"/>
      <c r="AA3" s="215" t="s">
        <v>186</v>
      </c>
      <c r="AB3" s="215" t="s">
        <v>190</v>
      </c>
      <c r="AC3" s="215" t="s">
        <v>195</v>
      </c>
      <c r="AD3" s="215" t="s">
        <v>202</v>
      </c>
      <c r="AE3" s="215">
        <v>2018</v>
      </c>
      <c r="AF3" s="52"/>
      <c r="AG3" s="215" t="s">
        <v>250</v>
      </c>
      <c r="AH3" s="215" t="s">
        <v>251</v>
      </c>
      <c r="AI3" s="215" t="s">
        <v>276</v>
      </c>
      <c r="AJ3" s="215" t="s">
        <v>278</v>
      </c>
      <c r="AK3" s="317">
        <v>2019</v>
      </c>
      <c r="AL3" s="52"/>
      <c r="AM3" s="317" t="s">
        <v>283</v>
      </c>
      <c r="AN3" s="343" t="s">
        <v>290</v>
      </c>
      <c r="AO3" s="343" t="s">
        <v>294</v>
      </c>
      <c r="AP3" s="343" t="s">
        <v>297</v>
      </c>
      <c r="AQ3" s="343">
        <v>2020</v>
      </c>
    </row>
    <row r="4" spans="1:43" s="218" customFormat="1" ht="12" customHeight="1">
      <c r="A4" s="219" t="s">
        <v>46</v>
      </c>
      <c r="B4" s="220"/>
      <c r="C4" s="221">
        <v>7041</v>
      </c>
      <c r="D4" s="222">
        <v>6787</v>
      </c>
      <c r="E4" s="222">
        <v>6994</v>
      </c>
      <c r="F4" s="222">
        <v>6624</v>
      </c>
      <c r="G4" s="222">
        <v>6862</v>
      </c>
      <c r="H4" s="223"/>
      <c r="I4" s="221">
        <v>5818</v>
      </c>
      <c r="J4" s="222">
        <v>6043</v>
      </c>
      <c r="K4" s="222">
        <v>5259</v>
      </c>
      <c r="L4" s="222">
        <v>4892</v>
      </c>
      <c r="M4" s="222">
        <v>5495</v>
      </c>
      <c r="N4" s="223"/>
      <c r="O4" s="221">
        <v>4672</v>
      </c>
      <c r="P4" s="222">
        <v>4729</v>
      </c>
      <c r="Q4" s="222">
        <v>4772</v>
      </c>
      <c r="R4" s="222">
        <v>5277</v>
      </c>
      <c r="S4" s="224">
        <v>4863</v>
      </c>
      <c r="T4" s="79"/>
      <c r="U4" s="221">
        <v>5831</v>
      </c>
      <c r="V4" s="222">
        <v>5662</v>
      </c>
      <c r="W4" s="222">
        <v>6348.7109375</v>
      </c>
      <c r="X4" s="222">
        <v>6808</v>
      </c>
      <c r="Y4" s="224">
        <v>6166</v>
      </c>
      <c r="Z4" s="225"/>
      <c r="AA4" s="226">
        <v>6960.53</v>
      </c>
      <c r="AB4" s="224">
        <v>6872.23</v>
      </c>
      <c r="AC4" s="224">
        <v>6105</v>
      </c>
      <c r="AD4" s="224">
        <v>6171.9</v>
      </c>
      <c r="AE4" s="224">
        <v>6523.04</v>
      </c>
      <c r="AG4" s="226">
        <v>6214.92</v>
      </c>
      <c r="AH4" s="293">
        <v>6113</v>
      </c>
      <c r="AI4" s="293">
        <v>5802</v>
      </c>
      <c r="AJ4" s="242">
        <v>5881</v>
      </c>
      <c r="AK4" s="293">
        <v>6000</v>
      </c>
      <c r="AM4" s="226">
        <v>5637</v>
      </c>
      <c r="AN4" s="287">
        <v>5356</v>
      </c>
      <c r="AO4" s="287">
        <v>6519</v>
      </c>
      <c r="AP4" s="345">
        <v>7166</v>
      </c>
      <c r="AQ4" s="345">
        <v>6181</v>
      </c>
    </row>
    <row r="5" spans="1:43" s="218" customFormat="1" ht="12" customHeight="1">
      <c r="A5" s="227" t="s">
        <v>47</v>
      </c>
      <c r="B5" s="220"/>
      <c r="C5" s="228">
        <v>20.48</v>
      </c>
      <c r="D5" s="229">
        <v>19.62</v>
      </c>
      <c r="E5" s="229">
        <v>19.76</v>
      </c>
      <c r="F5" s="229">
        <v>16.5</v>
      </c>
      <c r="G5" s="229">
        <v>19.08</v>
      </c>
      <c r="H5" s="230"/>
      <c r="I5" s="228">
        <v>16.71</v>
      </c>
      <c r="J5" s="229">
        <v>16.39</v>
      </c>
      <c r="K5" s="229">
        <v>14.91</v>
      </c>
      <c r="L5" s="229">
        <v>14.77</v>
      </c>
      <c r="M5" s="229">
        <v>15.68</v>
      </c>
      <c r="N5" s="230"/>
      <c r="O5" s="228">
        <v>14.85</v>
      </c>
      <c r="P5" s="229">
        <v>16.78</v>
      </c>
      <c r="Q5" s="229">
        <v>19.61</v>
      </c>
      <c r="R5" s="229">
        <v>17.19</v>
      </c>
      <c r="S5" s="43">
        <v>17.14</v>
      </c>
      <c r="T5" s="79"/>
      <c r="U5" s="228">
        <v>17.42</v>
      </c>
      <c r="V5" s="229">
        <v>17.21</v>
      </c>
      <c r="W5" s="229">
        <v>16.835</v>
      </c>
      <c r="X5" s="229">
        <v>16.73</v>
      </c>
      <c r="Y5" s="43">
        <v>17.05</v>
      </c>
      <c r="Z5" s="45"/>
      <c r="AA5" s="231">
        <v>16.77</v>
      </c>
      <c r="AB5" s="43">
        <v>16.5322</v>
      </c>
      <c r="AC5" s="43">
        <v>15.02</v>
      </c>
      <c r="AD5" s="43">
        <v>14.54</v>
      </c>
      <c r="AE5" s="43">
        <v>15.7054</v>
      </c>
      <c r="AG5" s="231">
        <v>15.57</v>
      </c>
      <c r="AH5" s="288">
        <v>14.88</v>
      </c>
      <c r="AI5" s="288">
        <v>16.98</v>
      </c>
      <c r="AJ5" s="288">
        <v>17.32</v>
      </c>
      <c r="AK5" s="325">
        <v>16.21</v>
      </c>
      <c r="AM5" s="231">
        <v>16.91</v>
      </c>
      <c r="AN5" s="288">
        <v>16.38</v>
      </c>
      <c r="AO5" s="288">
        <v>24.26</v>
      </c>
      <c r="AP5" s="346">
        <v>24.39</v>
      </c>
      <c r="AQ5" s="346">
        <v>20.54</v>
      </c>
    </row>
    <row r="6" spans="1:43" s="218" customFormat="1" ht="12" customHeight="1">
      <c r="A6" s="227" t="s">
        <v>48</v>
      </c>
      <c r="B6" s="220"/>
      <c r="C6" s="228">
        <v>3.06</v>
      </c>
      <c r="D6" s="229">
        <v>3.04</v>
      </c>
      <c r="E6" s="229">
        <v>3.15</v>
      </c>
      <c r="F6" s="229">
        <v>3.37</v>
      </c>
      <c r="G6" s="232">
        <v>3.15</v>
      </c>
      <c r="H6" s="230"/>
      <c r="I6" s="228">
        <v>3.73</v>
      </c>
      <c r="J6" s="229">
        <v>3.7</v>
      </c>
      <c r="K6" s="229">
        <v>3.77</v>
      </c>
      <c r="L6" s="229">
        <v>3.89</v>
      </c>
      <c r="M6" s="229">
        <v>3.77</v>
      </c>
      <c r="N6" s="230"/>
      <c r="O6" s="228">
        <v>3.96</v>
      </c>
      <c r="P6" s="229">
        <v>3.87</v>
      </c>
      <c r="Q6" s="229">
        <v>3.89</v>
      </c>
      <c r="R6" s="229">
        <v>4.06</v>
      </c>
      <c r="S6" s="43">
        <v>3.94</v>
      </c>
      <c r="T6" s="79"/>
      <c r="U6" s="228">
        <v>4.0584828125</v>
      </c>
      <c r="V6" s="229">
        <v>3.8306918032786883</v>
      </c>
      <c r="W6" s="229">
        <v>3.6250546875000005</v>
      </c>
      <c r="X6" s="229">
        <v>3.6</v>
      </c>
      <c r="Y6" s="43">
        <v>3.78</v>
      </c>
      <c r="Z6" s="45"/>
      <c r="AA6" s="231">
        <v>3.4009</v>
      </c>
      <c r="AB6" s="43">
        <v>3.5778</v>
      </c>
      <c r="AC6" s="43">
        <v>3.7</v>
      </c>
      <c r="AD6" s="43">
        <v>3.7671</v>
      </c>
      <c r="AE6" s="43">
        <v>3.6117</v>
      </c>
      <c r="AG6" s="231">
        <v>3.7883</v>
      </c>
      <c r="AH6" s="288">
        <v>3.81</v>
      </c>
      <c r="AI6" s="288">
        <v>3.88</v>
      </c>
      <c r="AJ6" s="288">
        <v>3.87</v>
      </c>
      <c r="AK6" s="325">
        <v>3.84</v>
      </c>
      <c r="AM6" s="231">
        <v>3.92</v>
      </c>
      <c r="AN6" s="288">
        <v>4.09</v>
      </c>
      <c r="AO6" s="288">
        <v>3.8</v>
      </c>
      <c r="AP6" s="346">
        <v>3.78</v>
      </c>
      <c r="AQ6" s="346">
        <v>3.9</v>
      </c>
    </row>
    <row r="7" spans="1:43" s="218" customFormat="1" ht="12" customHeight="1">
      <c r="A7" s="227" t="s">
        <v>49</v>
      </c>
      <c r="B7" s="220"/>
      <c r="C7" s="228">
        <v>3.0344</v>
      </c>
      <c r="D7" s="229">
        <v>3.0473</v>
      </c>
      <c r="E7" s="229">
        <v>3.2973</v>
      </c>
      <c r="F7" s="229">
        <v>3.5072</v>
      </c>
      <c r="G7" s="229">
        <f>+F7</f>
        <v>3.5072</v>
      </c>
      <c r="H7" s="230"/>
      <c r="I7" s="228">
        <v>3.8125</v>
      </c>
      <c r="J7" s="229">
        <v>3.7645</v>
      </c>
      <c r="K7" s="229">
        <v>3.7754</v>
      </c>
      <c r="L7" s="229">
        <v>3.9011</v>
      </c>
      <c r="M7" s="229">
        <f>+L7</f>
        <v>3.9011</v>
      </c>
      <c r="N7" s="230"/>
      <c r="O7" s="228">
        <v>3.759</v>
      </c>
      <c r="P7" s="229">
        <v>3.9803</v>
      </c>
      <c r="Q7" s="229">
        <v>3.8558</v>
      </c>
      <c r="R7" s="229">
        <v>4.1793</v>
      </c>
      <c r="S7" s="43">
        <f>+R7</f>
        <v>4.1793</v>
      </c>
      <c r="T7" s="79"/>
      <c r="U7" s="228">
        <v>3.95</v>
      </c>
      <c r="V7" s="229">
        <v>3.71</v>
      </c>
      <c r="W7" s="229">
        <v>3.65</v>
      </c>
      <c r="X7" s="229">
        <v>3.48</v>
      </c>
      <c r="Y7" s="43">
        <v>3.48</v>
      </c>
      <c r="Z7" s="45"/>
      <c r="AA7" s="231">
        <v>3.4139</v>
      </c>
      <c r="AB7" s="43">
        <v>3.744</v>
      </c>
      <c r="AC7" s="43">
        <v>3.68</v>
      </c>
      <c r="AD7" s="43">
        <v>3.7597</v>
      </c>
      <c r="AE7" s="43">
        <v>3.7597</v>
      </c>
      <c r="AG7" s="231">
        <v>3.8365</v>
      </c>
      <c r="AH7" s="288">
        <v>3.73</v>
      </c>
      <c r="AI7" s="288">
        <v>4</v>
      </c>
      <c r="AJ7" s="288">
        <v>3.8</v>
      </c>
      <c r="AK7" s="325">
        <v>3.8</v>
      </c>
      <c r="AM7" s="231">
        <v>4.15</v>
      </c>
      <c r="AN7" s="288">
        <v>3.98</v>
      </c>
      <c r="AO7" s="288">
        <v>3.87</v>
      </c>
      <c r="AP7" s="346">
        <v>3.76</v>
      </c>
      <c r="AQ7" s="346">
        <v>3.76</v>
      </c>
    </row>
    <row r="8" spans="1:2" ht="12.75" customHeight="1">
      <c r="A8" s="21"/>
      <c r="B8" s="21"/>
    </row>
    <row r="9" spans="1:43" s="52" customFormat="1" ht="15" customHeight="1">
      <c r="A9" s="233" t="s">
        <v>35</v>
      </c>
      <c r="B9" s="233"/>
      <c r="C9" s="217" t="s">
        <v>3</v>
      </c>
      <c r="D9" s="217" t="s">
        <v>4</v>
      </c>
      <c r="E9" s="217" t="s">
        <v>5</v>
      </c>
      <c r="F9" s="217" t="s">
        <v>6</v>
      </c>
      <c r="G9" s="217">
        <v>2014</v>
      </c>
      <c r="H9" s="216"/>
      <c r="I9" s="217" t="s">
        <v>7</v>
      </c>
      <c r="J9" s="217" t="s">
        <v>8</v>
      </c>
      <c r="K9" s="217" t="s">
        <v>9</v>
      </c>
      <c r="L9" s="217" t="s">
        <v>10</v>
      </c>
      <c r="M9" s="217">
        <v>2015</v>
      </c>
      <c r="N9" s="217"/>
      <c r="O9" s="217" t="s">
        <v>11</v>
      </c>
      <c r="P9" s="217" t="s">
        <v>12</v>
      </c>
      <c r="Q9" s="217" t="s">
        <v>13</v>
      </c>
      <c r="R9" s="217" t="s">
        <v>14</v>
      </c>
      <c r="S9" s="217">
        <v>2016</v>
      </c>
      <c r="U9" s="217" t="s">
        <v>55</v>
      </c>
      <c r="V9" s="217" t="s">
        <v>56</v>
      </c>
      <c r="W9" s="217" t="s">
        <v>60</v>
      </c>
      <c r="X9" s="217" t="s">
        <v>61</v>
      </c>
      <c r="Y9" s="217">
        <v>2017</v>
      </c>
      <c r="Z9" s="217"/>
      <c r="AA9" s="217" t="s">
        <v>186</v>
      </c>
      <c r="AB9" s="217" t="s">
        <v>190</v>
      </c>
      <c r="AC9" s="217" t="s">
        <v>195</v>
      </c>
      <c r="AD9" s="217" t="s">
        <v>202</v>
      </c>
      <c r="AE9" s="217">
        <v>2018</v>
      </c>
      <c r="AG9" s="217" t="s">
        <v>250</v>
      </c>
      <c r="AH9" s="217" t="s">
        <v>251</v>
      </c>
      <c r="AI9" s="217" t="s">
        <v>276</v>
      </c>
      <c r="AJ9" s="217" t="s">
        <v>278</v>
      </c>
      <c r="AK9" s="318">
        <v>2019</v>
      </c>
      <c r="AM9" s="318" t="s">
        <v>283</v>
      </c>
      <c r="AN9" s="344" t="s">
        <v>290</v>
      </c>
      <c r="AO9" s="344" t="s">
        <v>294</v>
      </c>
      <c r="AP9" s="343" t="s">
        <v>297</v>
      </c>
      <c r="AQ9" s="343">
        <v>2020</v>
      </c>
    </row>
    <row r="10" spans="1:43" s="26" customFormat="1" ht="12" customHeight="1">
      <c r="A10" s="84" t="s">
        <v>189</v>
      </c>
      <c r="B10" s="24"/>
      <c r="C10" s="144">
        <v>3800</v>
      </c>
      <c r="D10" s="143">
        <f>7727-C10</f>
        <v>3927</v>
      </c>
      <c r="E10" s="143">
        <v>4116</v>
      </c>
      <c r="F10" s="143">
        <f>G10-11843</f>
        <v>4790</v>
      </c>
      <c r="G10" s="143">
        <v>16633</v>
      </c>
      <c r="H10" s="24"/>
      <c r="I10" s="144">
        <v>3767</v>
      </c>
      <c r="J10" s="143">
        <v>4325</v>
      </c>
      <c r="K10" s="143">
        <v>3681</v>
      </c>
      <c r="L10" s="143">
        <v>4166</v>
      </c>
      <c r="M10" s="143">
        <v>15939</v>
      </c>
      <c r="N10" s="234"/>
      <c r="O10" s="144">
        <v>2979</v>
      </c>
      <c r="P10" s="143">
        <v>3561</v>
      </c>
      <c r="Q10" s="143">
        <v>3744</v>
      </c>
      <c r="R10" s="143">
        <v>4828</v>
      </c>
      <c r="S10" s="143">
        <v>15112</v>
      </c>
      <c r="U10" s="144">
        <v>3896</v>
      </c>
      <c r="V10" s="143">
        <v>3805</v>
      </c>
      <c r="W10" s="143">
        <v>3732</v>
      </c>
      <c r="X10" s="143">
        <v>4591</v>
      </c>
      <c r="Y10" s="143">
        <f>U10+V10+W10+X10</f>
        <v>16024</v>
      </c>
      <c r="Z10" s="138"/>
      <c r="AA10" s="144">
        <v>3206</v>
      </c>
      <c r="AB10" s="143">
        <v>3983</v>
      </c>
      <c r="AC10" s="143">
        <v>4128</v>
      </c>
      <c r="AD10" s="143">
        <v>4440</v>
      </c>
      <c r="AE10" s="143">
        <v>15757</v>
      </c>
      <c r="AG10" s="144">
        <v>4316</v>
      </c>
      <c r="AH10" s="294">
        <v>4515</v>
      </c>
      <c r="AI10" s="294">
        <f>13050-4316-4515</f>
        <v>4219</v>
      </c>
      <c r="AJ10" s="296">
        <v>4633</v>
      </c>
      <c r="AK10" s="143">
        <v>17683</v>
      </c>
      <c r="AL10" s="56"/>
      <c r="AM10" s="327">
        <v>4225</v>
      </c>
      <c r="AN10" s="327">
        <v>4672</v>
      </c>
      <c r="AO10" s="327">
        <v>4463</v>
      </c>
      <c r="AP10" s="350">
        <v>5966</v>
      </c>
      <c r="AQ10" s="350">
        <v>19326</v>
      </c>
    </row>
    <row r="11" spans="1:43" s="31" customFormat="1" ht="12" customHeight="1">
      <c r="A11" s="34" t="s">
        <v>142</v>
      </c>
      <c r="B11" s="29"/>
      <c r="C11" s="92">
        <v>3153</v>
      </c>
      <c r="D11" s="30">
        <v>3021</v>
      </c>
      <c r="E11" s="30">
        <v>3244</v>
      </c>
      <c r="F11" s="30">
        <v>3799</v>
      </c>
      <c r="G11" s="30">
        <v>13217</v>
      </c>
      <c r="H11" s="29"/>
      <c r="I11" s="92">
        <v>2994</v>
      </c>
      <c r="J11" s="30">
        <v>3474</v>
      </c>
      <c r="K11" s="30">
        <v>2869</v>
      </c>
      <c r="L11" s="30">
        <v>3161</v>
      </c>
      <c r="M11" s="30">
        <v>12498</v>
      </c>
      <c r="N11" s="236"/>
      <c r="O11" s="92">
        <v>2280</v>
      </c>
      <c r="P11" s="30">
        <v>2585</v>
      </c>
      <c r="Q11" s="30">
        <v>2517</v>
      </c>
      <c r="R11" s="30">
        <v>3108</v>
      </c>
      <c r="S11" s="30">
        <v>10490</v>
      </c>
      <c r="U11" s="92">
        <v>2916</v>
      </c>
      <c r="V11" s="30">
        <v>2804</v>
      </c>
      <c r="W11" s="30">
        <v>2882</v>
      </c>
      <c r="X11" s="30">
        <v>3611</v>
      </c>
      <c r="Y11" s="30">
        <v>12213</v>
      </c>
      <c r="Z11" s="139"/>
      <c r="AA11" s="92">
        <v>2525</v>
      </c>
      <c r="AB11" s="30">
        <v>3166</v>
      </c>
      <c r="AC11" s="30">
        <v>3149</v>
      </c>
      <c r="AD11" s="30">
        <v>3102</v>
      </c>
      <c r="AE11" s="30">
        <v>11942</v>
      </c>
      <c r="AG11" s="92">
        <v>3363</v>
      </c>
      <c r="AH11" s="242">
        <v>3472</v>
      </c>
      <c r="AI11" s="242">
        <f>10046-3363-3472</f>
        <v>3211</v>
      </c>
      <c r="AJ11" s="242">
        <v>3428</v>
      </c>
      <c r="AK11" s="30">
        <v>13474</v>
      </c>
      <c r="AL11" s="57"/>
      <c r="AM11" s="293">
        <v>3083</v>
      </c>
      <c r="AN11" s="293">
        <v>3460</v>
      </c>
      <c r="AO11" s="293">
        <v>3354</v>
      </c>
      <c r="AP11" s="351">
        <v>4361</v>
      </c>
      <c r="AQ11" s="351">
        <v>14258</v>
      </c>
    </row>
    <row r="12" spans="1:43" s="31" customFormat="1" ht="12" customHeight="1">
      <c r="A12" s="34" t="s">
        <v>143</v>
      </c>
      <c r="B12" s="29"/>
      <c r="C12" s="92">
        <v>455</v>
      </c>
      <c r="D12" s="30">
        <v>690</v>
      </c>
      <c r="E12" s="30">
        <v>610</v>
      </c>
      <c r="F12" s="30">
        <v>717</v>
      </c>
      <c r="G12" s="30">
        <v>2471</v>
      </c>
      <c r="H12" s="29"/>
      <c r="I12" s="92">
        <v>501</v>
      </c>
      <c r="J12" s="30">
        <v>628</v>
      </c>
      <c r="K12" s="30">
        <v>562</v>
      </c>
      <c r="L12" s="30">
        <v>703</v>
      </c>
      <c r="M12" s="30">
        <v>2394</v>
      </c>
      <c r="N12" s="236"/>
      <c r="O12" s="92">
        <v>410</v>
      </c>
      <c r="P12" s="30">
        <v>676</v>
      </c>
      <c r="Q12" s="30">
        <v>739</v>
      </c>
      <c r="R12" s="30">
        <v>771</v>
      </c>
      <c r="S12" s="30">
        <v>2596</v>
      </c>
      <c r="U12" s="92">
        <v>560</v>
      </c>
      <c r="V12" s="30">
        <v>660</v>
      </c>
      <c r="W12" s="30">
        <v>507</v>
      </c>
      <c r="X12" s="30">
        <v>714</v>
      </c>
      <c r="Y12" s="30">
        <v>2441</v>
      </c>
      <c r="Z12" s="139"/>
      <c r="AA12" s="92">
        <v>392</v>
      </c>
      <c r="AB12" s="30">
        <v>538</v>
      </c>
      <c r="AC12" s="30">
        <v>683</v>
      </c>
      <c r="AD12" s="30">
        <v>488</v>
      </c>
      <c r="AE12" s="30">
        <v>2101</v>
      </c>
      <c r="AG12" s="92">
        <v>620</v>
      </c>
      <c r="AH12" s="242">
        <v>693</v>
      </c>
      <c r="AI12" s="242">
        <f>2004-AG12-AH12</f>
        <v>691</v>
      </c>
      <c r="AJ12" s="242">
        <v>785</v>
      </c>
      <c r="AK12" s="30">
        <v>2789</v>
      </c>
      <c r="AL12" s="57"/>
      <c r="AM12" s="293">
        <v>748</v>
      </c>
      <c r="AN12" s="293">
        <v>776</v>
      </c>
      <c r="AO12" s="293">
        <v>802</v>
      </c>
      <c r="AP12" s="351">
        <v>1127</v>
      </c>
      <c r="AQ12" s="351">
        <v>3453</v>
      </c>
    </row>
    <row r="13" spans="1:43" s="26" customFormat="1" ht="12" customHeight="1">
      <c r="A13" s="33" t="s">
        <v>1</v>
      </c>
      <c r="B13" s="24"/>
      <c r="C13" s="88">
        <v>-2822</v>
      </c>
      <c r="D13" s="25">
        <v>-2905</v>
      </c>
      <c r="E13" s="25">
        <v>-3014</v>
      </c>
      <c r="F13" s="25">
        <v>-3524</v>
      </c>
      <c r="G13" s="25">
        <v>-12265</v>
      </c>
      <c r="H13" s="24"/>
      <c r="I13" s="88">
        <v>-2732</v>
      </c>
      <c r="J13" s="25">
        <v>-3050</v>
      </c>
      <c r="K13" s="25">
        <v>-2820</v>
      </c>
      <c r="L13" s="25">
        <v>-3207</v>
      </c>
      <c r="M13" s="25">
        <v>-11809</v>
      </c>
      <c r="N13" s="234"/>
      <c r="O13" s="88">
        <v>-2355</v>
      </c>
      <c r="P13" s="25">
        <v>-2785</v>
      </c>
      <c r="Q13" s="25">
        <v>-2831</v>
      </c>
      <c r="R13" s="25">
        <v>-3659</v>
      </c>
      <c r="S13" s="25">
        <v>-11630</v>
      </c>
      <c r="U13" s="88">
        <v>-2655</v>
      </c>
      <c r="V13" s="25">
        <v>-2916</v>
      </c>
      <c r="W13" s="25">
        <v>-2794</v>
      </c>
      <c r="X13" s="25">
        <v>-3657</v>
      </c>
      <c r="Y13" s="25">
        <f aca="true" t="shared" si="0" ref="Y13:Y34">U13+V13+W13+X13</f>
        <v>-12022</v>
      </c>
      <c r="Z13" s="138"/>
      <c r="AA13" s="88">
        <v>-2504</v>
      </c>
      <c r="AB13" s="25">
        <v>-3101</v>
      </c>
      <c r="AC13" s="25">
        <v>-3290</v>
      </c>
      <c r="AD13" s="25">
        <v>-3642</v>
      </c>
      <c r="AE13" s="25">
        <v>-12537</v>
      </c>
      <c r="AG13" s="88">
        <v>-3397</v>
      </c>
      <c r="AH13" s="289">
        <v>-3659</v>
      </c>
      <c r="AI13" s="289">
        <f>-10371-AG13-AH13</f>
        <v>-3315</v>
      </c>
      <c r="AJ13" s="242">
        <v>-3925</v>
      </c>
      <c r="AK13" s="25">
        <v>-14296</v>
      </c>
      <c r="AL13" s="56"/>
      <c r="AM13" s="289">
        <v>-3408</v>
      </c>
      <c r="AN13" s="289">
        <v>-3713</v>
      </c>
      <c r="AO13" s="289">
        <v>-3396</v>
      </c>
      <c r="AP13" s="82">
        <v>-4634</v>
      </c>
      <c r="AQ13" s="82">
        <v>-15151</v>
      </c>
    </row>
    <row r="14" spans="1:43" s="31" customFormat="1" ht="12" customHeight="1">
      <c r="A14" s="189" t="s">
        <v>51</v>
      </c>
      <c r="B14" s="188"/>
      <c r="C14" s="88">
        <f>C10+C13</f>
        <v>978</v>
      </c>
      <c r="D14" s="25">
        <f>D10+D13</f>
        <v>1022</v>
      </c>
      <c r="E14" s="25">
        <f>E10+E13</f>
        <v>1102</v>
      </c>
      <c r="F14" s="25">
        <f>F10+F13</f>
        <v>1266</v>
      </c>
      <c r="G14" s="25">
        <f>G10+G13</f>
        <v>4368</v>
      </c>
      <c r="H14" s="188"/>
      <c r="I14" s="88">
        <f>I10+I13</f>
        <v>1035</v>
      </c>
      <c r="J14" s="25">
        <f>J10+J13</f>
        <v>1275</v>
      </c>
      <c r="K14" s="25">
        <f>K10+K13</f>
        <v>861</v>
      </c>
      <c r="L14" s="25">
        <f>L10+L13</f>
        <v>959</v>
      </c>
      <c r="M14" s="25">
        <f>M10+M13</f>
        <v>4130</v>
      </c>
      <c r="N14" s="234"/>
      <c r="O14" s="88">
        <f>O10+O13</f>
        <v>624</v>
      </c>
      <c r="P14" s="25">
        <f>P10+P13</f>
        <v>776</v>
      </c>
      <c r="Q14" s="25">
        <f>Q10+Q13</f>
        <v>913</v>
      </c>
      <c r="R14" s="25">
        <f>R10+R13</f>
        <v>1169</v>
      </c>
      <c r="S14" s="25">
        <f>S10+S13</f>
        <v>3482</v>
      </c>
      <c r="U14" s="88">
        <f>U10+U13</f>
        <v>1241</v>
      </c>
      <c r="V14" s="25">
        <f>V10+V13</f>
        <v>889</v>
      </c>
      <c r="W14" s="25">
        <f>W10+W13</f>
        <v>938</v>
      </c>
      <c r="X14" s="25">
        <v>934</v>
      </c>
      <c r="Y14" s="25">
        <f t="shared" si="0"/>
        <v>4002</v>
      </c>
      <c r="Z14" s="138"/>
      <c r="AA14" s="88">
        <f>AA10+AA13</f>
        <v>702</v>
      </c>
      <c r="AB14" s="25">
        <f>AB10+AB13</f>
        <v>882</v>
      </c>
      <c r="AC14" s="25">
        <f>AC10+AC13</f>
        <v>838</v>
      </c>
      <c r="AD14" s="25">
        <f>AD10+AD13</f>
        <v>798</v>
      </c>
      <c r="AE14" s="25">
        <f>AE10+AE13</f>
        <v>3220</v>
      </c>
      <c r="AG14" s="88">
        <f>AG10+AG13</f>
        <v>919</v>
      </c>
      <c r="AH14" s="289">
        <f>AH10+AH13</f>
        <v>856</v>
      </c>
      <c r="AI14" s="289">
        <f>AI10+AI13</f>
        <v>904</v>
      </c>
      <c r="AJ14" s="242">
        <f>AJ10+AJ13</f>
        <v>708</v>
      </c>
      <c r="AK14" s="25">
        <v>3387</v>
      </c>
      <c r="AL14" s="57"/>
      <c r="AM14" s="327">
        <v>817</v>
      </c>
      <c r="AN14" s="327">
        <v>959</v>
      </c>
      <c r="AO14" s="327">
        <f>+AO10+AO13</f>
        <v>1067</v>
      </c>
      <c r="AP14" s="350">
        <v>1332</v>
      </c>
      <c r="AQ14" s="350">
        <f>AQ10+AQ13</f>
        <v>4175</v>
      </c>
    </row>
    <row r="15" spans="1:43" s="31" customFormat="1" ht="12" customHeight="1">
      <c r="A15" s="187" t="s">
        <v>144</v>
      </c>
      <c r="B15" s="29"/>
      <c r="C15" s="92">
        <v>-30</v>
      </c>
      <c r="D15" s="30">
        <v>-32</v>
      </c>
      <c r="E15" s="30">
        <v>-27</v>
      </c>
      <c r="F15" s="30">
        <v>-31</v>
      </c>
      <c r="G15" s="30">
        <v>-120</v>
      </c>
      <c r="H15" s="29"/>
      <c r="I15" s="92">
        <v>-31</v>
      </c>
      <c r="J15" s="30">
        <f>-58-I15</f>
        <v>-27</v>
      </c>
      <c r="K15" s="30">
        <f>-85-J15-I15</f>
        <v>-27</v>
      </c>
      <c r="L15" s="30">
        <f>M15-K15-J15-I15</f>
        <v>-30</v>
      </c>
      <c r="M15" s="30">
        <v>-115</v>
      </c>
      <c r="N15" s="236"/>
      <c r="O15" s="92">
        <v>-25</v>
      </c>
      <c r="P15" s="30">
        <f>-50-O15</f>
        <v>-25</v>
      </c>
      <c r="Q15" s="30">
        <f>-85-P15-O15</f>
        <v>-35</v>
      </c>
      <c r="R15" s="30">
        <f>S15-Q15-P15-O15</f>
        <v>-41</v>
      </c>
      <c r="S15" s="30">
        <v>-126</v>
      </c>
      <c r="U15" s="92">
        <v>-26</v>
      </c>
      <c r="V15" s="30">
        <v>-30</v>
      </c>
      <c r="W15" s="30">
        <v>-27</v>
      </c>
      <c r="X15" s="30">
        <v>-29</v>
      </c>
      <c r="Y15" s="30">
        <f t="shared" si="0"/>
        <v>-112</v>
      </c>
      <c r="Z15" s="139"/>
      <c r="AA15" s="92">
        <v>-24</v>
      </c>
      <c r="AB15" s="30">
        <v>-28</v>
      </c>
      <c r="AC15" s="30">
        <v>-29</v>
      </c>
      <c r="AD15" s="30">
        <v>-34</v>
      </c>
      <c r="AE15" s="30">
        <v>-115</v>
      </c>
      <c r="AG15" s="92">
        <v>-31</v>
      </c>
      <c r="AH15" s="242">
        <v>-32</v>
      </c>
      <c r="AI15" s="242">
        <f>-92+31+32</f>
        <v>-29</v>
      </c>
      <c r="AJ15" s="242">
        <v>-32</v>
      </c>
      <c r="AK15" s="30">
        <v>-124</v>
      </c>
      <c r="AL15" s="57"/>
      <c r="AM15" s="242">
        <v>-31</v>
      </c>
      <c r="AN15" s="242">
        <v>-35</v>
      </c>
      <c r="AO15" s="242">
        <v>-30</v>
      </c>
      <c r="AP15" s="81">
        <v>-36</v>
      </c>
      <c r="AQ15" s="81">
        <v>-132</v>
      </c>
    </row>
    <row r="16" spans="1:43" s="31" customFormat="1" ht="12" customHeight="1">
      <c r="A16" s="187" t="s">
        <v>16</v>
      </c>
      <c r="B16" s="29"/>
      <c r="C16" s="92">
        <v>-172</v>
      </c>
      <c r="D16" s="30">
        <v>-166</v>
      </c>
      <c r="E16" s="30">
        <v>-173</v>
      </c>
      <c r="F16" s="30">
        <v>-224</v>
      </c>
      <c r="G16" s="30">
        <v>-735</v>
      </c>
      <c r="H16" s="29"/>
      <c r="I16" s="92">
        <v>-135</v>
      </c>
      <c r="J16" s="30">
        <f>-317-I16</f>
        <v>-182</v>
      </c>
      <c r="K16" s="30">
        <f>-489-J16-I16</f>
        <v>-172</v>
      </c>
      <c r="L16" s="30">
        <f>M16-K16-J16-I16</f>
        <v>-242</v>
      </c>
      <c r="M16" s="30">
        <v>-731</v>
      </c>
      <c r="N16" s="236"/>
      <c r="O16" s="92">
        <v>-140</v>
      </c>
      <c r="P16" s="30">
        <f>-338-O16</f>
        <v>-198</v>
      </c>
      <c r="Q16" s="30">
        <f>-534-P16-O16</f>
        <v>-196</v>
      </c>
      <c r="R16" s="30">
        <f>S16-Q16-P16-O16</f>
        <v>-227</v>
      </c>
      <c r="S16" s="30">
        <v>-761</v>
      </c>
      <c r="U16" s="92">
        <v>-150</v>
      </c>
      <c r="V16" s="30">
        <v>-189</v>
      </c>
      <c r="W16" s="30">
        <v>-199</v>
      </c>
      <c r="X16" s="30">
        <v>-227</v>
      </c>
      <c r="Y16" s="30">
        <f t="shared" si="0"/>
        <v>-765</v>
      </c>
      <c r="Z16" s="139"/>
      <c r="AA16" s="92">
        <v>-158</v>
      </c>
      <c r="AB16" s="30">
        <v>-208</v>
      </c>
      <c r="AC16" s="30">
        <v>-207</v>
      </c>
      <c r="AD16" s="30">
        <v>-235</v>
      </c>
      <c r="AE16" s="30">
        <v>-808</v>
      </c>
      <c r="AG16" s="92">
        <v>-163</v>
      </c>
      <c r="AH16" s="242">
        <v>-216</v>
      </c>
      <c r="AI16" s="242">
        <f>-612+163+216</f>
        <v>-233</v>
      </c>
      <c r="AJ16" s="242">
        <v>-259</v>
      </c>
      <c r="AK16" s="30">
        <v>-871</v>
      </c>
      <c r="AL16" s="57"/>
      <c r="AM16" s="242">
        <v>-170</v>
      </c>
      <c r="AN16" s="242">
        <v>-204</v>
      </c>
      <c r="AO16" s="242">
        <v>-217</v>
      </c>
      <c r="AP16" s="81">
        <v>-287</v>
      </c>
      <c r="AQ16" s="81">
        <v>-878</v>
      </c>
    </row>
    <row r="17" spans="1:43" s="31" customFormat="1" ht="12" customHeight="1">
      <c r="A17" s="189" t="s">
        <v>145</v>
      </c>
      <c r="B17" s="188"/>
      <c r="C17" s="88">
        <f>C14+C15+C16</f>
        <v>776</v>
      </c>
      <c r="D17" s="25">
        <f>D14+D15+D16</f>
        <v>824</v>
      </c>
      <c r="E17" s="25">
        <f>E14+E15+E16</f>
        <v>902</v>
      </c>
      <c r="F17" s="25">
        <f>F14+F15+F16</f>
        <v>1011</v>
      </c>
      <c r="G17" s="25">
        <f>G14+G15+G16</f>
        <v>3513</v>
      </c>
      <c r="H17" s="188"/>
      <c r="I17" s="88">
        <f>I14+I15+I16</f>
        <v>869</v>
      </c>
      <c r="J17" s="25">
        <f>J14+J15+J16</f>
        <v>1066</v>
      </c>
      <c r="K17" s="25">
        <f>K14+K15+K16</f>
        <v>662</v>
      </c>
      <c r="L17" s="25">
        <f>L14+L15+L16</f>
        <v>687</v>
      </c>
      <c r="M17" s="25">
        <f>M14+M15+M16</f>
        <v>3284</v>
      </c>
      <c r="N17" s="234"/>
      <c r="O17" s="88">
        <f>O14+O15+O16</f>
        <v>459</v>
      </c>
      <c r="P17" s="25">
        <f>P14+P15+P16</f>
        <v>553</v>
      </c>
      <c r="Q17" s="25">
        <f>Q14+Q15+Q16</f>
        <v>682</v>
      </c>
      <c r="R17" s="25">
        <f>R14+R15+R16</f>
        <v>901</v>
      </c>
      <c r="S17" s="25">
        <f>S14+S15+S16</f>
        <v>2595</v>
      </c>
      <c r="U17" s="88">
        <f>U14+U15+U16</f>
        <v>1065</v>
      </c>
      <c r="V17" s="25">
        <f>V14+V15+V16</f>
        <v>670</v>
      </c>
      <c r="W17" s="25">
        <f>W14+W15+W16</f>
        <v>712</v>
      </c>
      <c r="X17" s="25">
        <v>678</v>
      </c>
      <c r="Y17" s="25">
        <f t="shared" si="0"/>
        <v>3125</v>
      </c>
      <c r="Z17" s="138"/>
      <c r="AA17" s="88">
        <f>AA14+AA15+AA16</f>
        <v>520</v>
      </c>
      <c r="AB17" s="25">
        <f>AB14+AB15+AB16</f>
        <v>646</v>
      </c>
      <c r="AC17" s="25">
        <f>AC14+AC15+AC16</f>
        <v>602</v>
      </c>
      <c r="AD17" s="25">
        <f>AD14+AD15+AD16</f>
        <v>529</v>
      </c>
      <c r="AE17" s="25">
        <f>AE14+AE15+AE16</f>
        <v>2297</v>
      </c>
      <c r="AG17" s="88">
        <f>AG14+AG15+AG16</f>
        <v>725</v>
      </c>
      <c r="AH17" s="289">
        <f>AH14+AH15+AH16</f>
        <v>608</v>
      </c>
      <c r="AI17" s="289">
        <f>AI14+AI15+AI16</f>
        <v>642</v>
      </c>
      <c r="AJ17" s="242">
        <f>AJ14+AJ15+AJ16</f>
        <v>417</v>
      </c>
      <c r="AK17" s="25">
        <v>2392</v>
      </c>
      <c r="AL17" s="57"/>
      <c r="AM17" s="327">
        <v>616</v>
      </c>
      <c r="AN17" s="327">
        <v>720</v>
      </c>
      <c r="AO17" s="327">
        <f>+AO14+AO15+AO16</f>
        <v>820</v>
      </c>
      <c r="AP17" s="350">
        <v>1009</v>
      </c>
      <c r="AQ17" s="350">
        <f>AQ14+AQ15+AQ16</f>
        <v>3165</v>
      </c>
    </row>
    <row r="18" spans="1:43" s="26" customFormat="1" ht="12" customHeight="1">
      <c r="A18" s="33" t="s">
        <v>40</v>
      </c>
      <c r="B18" s="24"/>
      <c r="C18" s="88">
        <f>SUM(C19:C25)</f>
        <v>-58</v>
      </c>
      <c r="D18" s="25">
        <f>-54-C18</f>
        <v>4</v>
      </c>
      <c r="E18" s="25">
        <f>SUM(E20:E25)</f>
        <v>51</v>
      </c>
      <c r="F18" s="25">
        <f>SUM(F19:F25)</f>
        <v>35</v>
      </c>
      <c r="G18" s="25">
        <v>32</v>
      </c>
      <c r="H18" s="24"/>
      <c r="I18" s="88">
        <f>SUM(I19:I25)</f>
        <v>-79</v>
      </c>
      <c r="J18" s="25">
        <f>-12-I18</f>
        <v>67</v>
      </c>
      <c r="K18" s="25">
        <v>-95</v>
      </c>
      <c r="L18" s="25">
        <v>-4957</v>
      </c>
      <c r="M18" s="25">
        <v>-5064</v>
      </c>
      <c r="N18" s="234"/>
      <c r="O18" s="88">
        <v>-162</v>
      </c>
      <c r="P18" s="25">
        <f>161-O18</f>
        <v>323</v>
      </c>
      <c r="Q18" s="25">
        <v>-81</v>
      </c>
      <c r="R18" s="25">
        <v>-5509</v>
      </c>
      <c r="S18" s="25">
        <v>-5429</v>
      </c>
      <c r="U18" s="88">
        <f>U19+U20+U21+U23+U25</f>
        <v>-270</v>
      </c>
      <c r="V18" s="25">
        <f>V19+V20+V21+V23+V25</f>
        <v>-327</v>
      </c>
      <c r="W18" s="25">
        <f>W19+W20+W21+W23+W25</f>
        <v>-92</v>
      </c>
      <c r="X18" s="25">
        <v>-1315</v>
      </c>
      <c r="Y18" s="25">
        <f t="shared" si="0"/>
        <v>-2004</v>
      </c>
      <c r="Z18" s="138"/>
      <c r="AA18" s="88">
        <f>AA19+AA20+AA21+AA22+AA23+AA24+AA25</f>
        <v>83</v>
      </c>
      <c r="AB18" s="25">
        <f>AB19+AB20+AB21+AB22+AB23+AB24+AB25</f>
        <v>625</v>
      </c>
      <c r="AC18" s="25">
        <f>AC19+AC20+AC21+AC22+AC23+AC24+AC25</f>
        <v>-49</v>
      </c>
      <c r="AD18" s="25">
        <f>AD19+AD20+AD21+AD22+AD23+AD24+AD25</f>
        <v>490</v>
      </c>
      <c r="AE18" s="25">
        <f>AE19+AE20+AE21+AE22+AE23+AE24+AE25</f>
        <v>1149</v>
      </c>
      <c r="AG18" s="88">
        <f>AG19+AG20+AG21+AG22+AG23+AG24+AG25</f>
        <v>379</v>
      </c>
      <c r="AH18" s="289">
        <f>AH19+AH20+AH21+AH22+AH23+AH24+AH25</f>
        <v>73</v>
      </c>
      <c r="AI18" s="289">
        <f>AI19+AI20+AI21+AI22+AI23+AI24+AI25</f>
        <v>564</v>
      </c>
      <c r="AJ18" s="242">
        <f>AJ19+AJ20+AJ21+AJ22+AJ23+AJ24+AJ25</f>
        <v>-977</v>
      </c>
      <c r="AK18" s="25">
        <v>39</v>
      </c>
      <c r="AL18" s="56"/>
      <c r="AM18" s="327">
        <v>488</v>
      </c>
      <c r="AN18" s="289">
        <v>-532</v>
      </c>
      <c r="AO18" s="289">
        <f>+AO19+AO20+AO21+AO22+AO23+AO24+AO25</f>
        <v>-223</v>
      </c>
      <c r="AP18" s="82">
        <f>AP19+AP20+AP21+AP22+AP23+AP24+AP25</f>
        <v>-131</v>
      </c>
      <c r="AQ18" s="82">
        <f>AQ19+AQ20+AQ21+AQ22+AQ23+AQ24+AQ25</f>
        <v>-398</v>
      </c>
    </row>
    <row r="19" spans="1:43" s="31" customFormat="1" ht="12" customHeight="1">
      <c r="A19" s="34" t="s">
        <v>207</v>
      </c>
      <c r="B19" s="29"/>
      <c r="C19" s="237" t="s">
        <v>34</v>
      </c>
      <c r="D19" s="238" t="s">
        <v>34</v>
      </c>
      <c r="E19" s="238" t="s">
        <v>34</v>
      </c>
      <c r="F19" s="30">
        <v>-32</v>
      </c>
      <c r="G19" s="30">
        <v>-32</v>
      </c>
      <c r="H19" s="29"/>
      <c r="I19" s="237" t="s">
        <v>34</v>
      </c>
      <c r="J19" s="238" t="s">
        <v>34</v>
      </c>
      <c r="K19" s="30">
        <v>-194</v>
      </c>
      <c r="L19" s="30">
        <v>-5074</v>
      </c>
      <c r="M19" s="30">
        <v>-5268</v>
      </c>
      <c r="N19" s="236"/>
      <c r="O19" s="92">
        <v>-57</v>
      </c>
      <c r="P19" s="30">
        <v>0</v>
      </c>
      <c r="Q19" s="30">
        <v>0</v>
      </c>
      <c r="R19" s="30">
        <v>-6140</v>
      </c>
      <c r="S19" s="30">
        <f>SUM(O19:R19)</f>
        <v>-6197</v>
      </c>
      <c r="U19" s="92">
        <v>0</v>
      </c>
      <c r="V19" s="30">
        <v>0</v>
      </c>
      <c r="W19" s="30">
        <v>0</v>
      </c>
      <c r="X19" s="30">
        <v>-936</v>
      </c>
      <c r="Y19" s="30">
        <f t="shared" si="0"/>
        <v>-936</v>
      </c>
      <c r="Z19" s="139"/>
      <c r="AA19" s="92">
        <v>49</v>
      </c>
      <c r="AB19" s="30">
        <v>94</v>
      </c>
      <c r="AC19" s="30">
        <v>18</v>
      </c>
      <c r="AD19" s="30">
        <v>473</v>
      </c>
      <c r="AE19" s="30">
        <v>634</v>
      </c>
      <c r="AG19" s="92">
        <v>95</v>
      </c>
      <c r="AH19" s="242">
        <f>17-10</f>
        <v>7</v>
      </c>
      <c r="AI19" s="242">
        <f>17-20</f>
        <v>-3</v>
      </c>
      <c r="AJ19" s="242">
        <v>-457</v>
      </c>
      <c r="AK19" s="30">
        <v>-358</v>
      </c>
      <c r="AL19" s="57"/>
      <c r="AM19" s="242">
        <f>-176-42</f>
        <v>-218</v>
      </c>
      <c r="AN19" s="242">
        <v>-1</v>
      </c>
      <c r="AO19" s="242">
        <v>25</v>
      </c>
      <c r="AP19" s="81">
        <v>-39</v>
      </c>
      <c r="AQ19" s="81">
        <v>-233</v>
      </c>
    </row>
    <row r="20" spans="1:43" s="31" customFormat="1" ht="22.5" customHeight="1">
      <c r="A20" s="34" t="s">
        <v>208</v>
      </c>
      <c r="B20" s="29"/>
      <c r="C20" s="92">
        <v>-1</v>
      </c>
      <c r="D20" s="30">
        <v>-4</v>
      </c>
      <c r="E20" s="30">
        <v>63</v>
      </c>
      <c r="F20" s="30">
        <v>99</v>
      </c>
      <c r="G20" s="30">
        <v>157</v>
      </c>
      <c r="H20" s="29"/>
      <c r="I20" s="92">
        <v>148</v>
      </c>
      <c r="J20" s="30">
        <v>-96</v>
      </c>
      <c r="K20" s="30">
        <v>8</v>
      </c>
      <c r="L20" s="30">
        <v>99</v>
      </c>
      <c r="M20" s="30">
        <v>159</v>
      </c>
      <c r="N20" s="236"/>
      <c r="O20" s="92">
        <v>-306</v>
      </c>
      <c r="P20" s="30">
        <v>399</v>
      </c>
      <c r="Q20" s="30">
        <v>-256</v>
      </c>
      <c r="R20" s="30">
        <v>645</v>
      </c>
      <c r="S20" s="30">
        <f>SUM(O20:R20)</f>
        <v>482</v>
      </c>
      <c r="U20" s="92">
        <v>-425</v>
      </c>
      <c r="V20" s="30">
        <v>-410</v>
      </c>
      <c r="W20" s="30">
        <v>-64</v>
      </c>
      <c r="X20" s="30">
        <v>-280</v>
      </c>
      <c r="Y20" s="30">
        <f t="shared" si="0"/>
        <v>-1179</v>
      </c>
      <c r="Z20" s="139"/>
      <c r="AA20" s="92">
        <v>-124</v>
      </c>
      <c r="AB20" s="30">
        <v>451</v>
      </c>
      <c r="AC20" s="30">
        <v>-103</v>
      </c>
      <c r="AD20" s="30">
        <v>162</v>
      </c>
      <c r="AE20" s="30">
        <v>386</v>
      </c>
      <c r="AG20" s="92">
        <v>143</v>
      </c>
      <c r="AH20" s="242">
        <v>-127</v>
      </c>
      <c r="AI20" s="242">
        <f>492</f>
        <v>492</v>
      </c>
      <c r="AJ20" s="242">
        <v>-340</v>
      </c>
      <c r="AK20" s="30">
        <v>168</v>
      </c>
      <c r="AL20" s="57"/>
      <c r="AM20" s="293">
        <v>446</v>
      </c>
      <c r="AN20" s="242">
        <v>-420</v>
      </c>
      <c r="AO20" s="242">
        <v>-145</v>
      </c>
      <c r="AP20" s="81">
        <v>-150</v>
      </c>
      <c r="AQ20" s="81">
        <v>-269</v>
      </c>
    </row>
    <row r="21" spans="1:43" s="31" customFormat="1" ht="12" customHeight="1">
      <c r="A21" s="34" t="s">
        <v>146</v>
      </c>
      <c r="B21" s="29"/>
      <c r="C21" s="92">
        <v>5</v>
      </c>
      <c r="D21" s="30">
        <v>11</v>
      </c>
      <c r="E21" s="30">
        <v>11</v>
      </c>
      <c r="F21" s="30">
        <v>21</v>
      </c>
      <c r="G21" s="30">
        <v>48</v>
      </c>
      <c r="H21" s="29"/>
      <c r="I21" s="92">
        <v>33</v>
      </c>
      <c r="J21" s="30">
        <v>46</v>
      </c>
      <c r="K21" s="30">
        <v>65</v>
      </c>
      <c r="L21" s="30">
        <v>82</v>
      </c>
      <c r="M21" s="30">
        <v>226</v>
      </c>
      <c r="N21" s="236"/>
      <c r="O21" s="92">
        <v>79</v>
      </c>
      <c r="P21" s="30">
        <v>91</v>
      </c>
      <c r="Q21" s="30">
        <v>84</v>
      </c>
      <c r="R21" s="30">
        <v>122</v>
      </c>
      <c r="S21" s="30">
        <f>SUM(O21:R21)</f>
        <v>376</v>
      </c>
      <c r="U21" s="92">
        <v>96</v>
      </c>
      <c r="V21" s="30">
        <v>85</v>
      </c>
      <c r="W21" s="30">
        <v>64</v>
      </c>
      <c r="X21" s="30">
        <v>55</v>
      </c>
      <c r="Y21" s="30">
        <f t="shared" si="0"/>
        <v>300</v>
      </c>
      <c r="Z21" s="139"/>
      <c r="AA21" s="92">
        <v>0</v>
      </c>
      <c r="AB21" s="30">
        <v>0</v>
      </c>
      <c r="AC21" s="30">
        <v>0</v>
      </c>
      <c r="AD21" s="30">
        <v>0</v>
      </c>
      <c r="AE21" s="30">
        <v>0</v>
      </c>
      <c r="AG21" s="92">
        <v>0</v>
      </c>
      <c r="AH21" s="242">
        <v>0</v>
      </c>
      <c r="AI21" s="242">
        <v>0</v>
      </c>
      <c r="AJ21" s="242">
        <v>0</v>
      </c>
      <c r="AK21" s="30">
        <v>0</v>
      </c>
      <c r="AL21" s="57"/>
      <c r="AM21" s="242">
        <v>0</v>
      </c>
      <c r="AN21" s="242">
        <v>0</v>
      </c>
      <c r="AO21" s="242">
        <v>0</v>
      </c>
      <c r="AP21" s="81">
        <v>0</v>
      </c>
      <c r="AQ21" s="81">
        <v>0</v>
      </c>
    </row>
    <row r="22" spans="1:43" s="31" customFormat="1" ht="12" customHeight="1">
      <c r="A22" s="34" t="s">
        <v>188</v>
      </c>
      <c r="B22" s="29"/>
      <c r="C22" s="92">
        <v>0</v>
      </c>
      <c r="D22" s="30">
        <v>0</v>
      </c>
      <c r="E22" s="30">
        <v>0</v>
      </c>
      <c r="F22" s="30">
        <v>0</v>
      </c>
      <c r="G22" s="30">
        <v>0</v>
      </c>
      <c r="H22" s="29"/>
      <c r="I22" s="92">
        <v>0</v>
      </c>
      <c r="J22" s="30">
        <v>0</v>
      </c>
      <c r="K22" s="30">
        <v>0</v>
      </c>
      <c r="L22" s="30">
        <v>0</v>
      </c>
      <c r="M22" s="30">
        <v>0</v>
      </c>
      <c r="N22" s="236"/>
      <c r="O22" s="92">
        <v>0</v>
      </c>
      <c r="P22" s="30">
        <v>0</v>
      </c>
      <c r="Q22" s="30">
        <v>0</v>
      </c>
      <c r="R22" s="30">
        <v>0</v>
      </c>
      <c r="S22" s="30">
        <v>0</v>
      </c>
      <c r="U22" s="92">
        <v>0</v>
      </c>
      <c r="V22" s="30">
        <v>0</v>
      </c>
      <c r="W22" s="30">
        <v>0</v>
      </c>
      <c r="X22" s="30">
        <v>0</v>
      </c>
      <c r="Y22" s="30">
        <f t="shared" si="0"/>
        <v>0</v>
      </c>
      <c r="Z22" s="139"/>
      <c r="AA22" s="92">
        <v>57</v>
      </c>
      <c r="AB22" s="30">
        <v>69</v>
      </c>
      <c r="AC22" s="30">
        <v>62</v>
      </c>
      <c r="AD22" s="30">
        <v>56</v>
      </c>
      <c r="AE22" s="30">
        <v>244</v>
      </c>
      <c r="AG22" s="92">
        <v>66</v>
      </c>
      <c r="AH22" s="242">
        <v>66</v>
      </c>
      <c r="AI22" s="242">
        <v>80</v>
      </c>
      <c r="AJ22" s="242">
        <v>60</v>
      </c>
      <c r="AK22" s="30">
        <v>272</v>
      </c>
      <c r="AL22" s="57"/>
      <c r="AM22" s="293">
        <v>73</v>
      </c>
      <c r="AN22" s="293">
        <v>68</v>
      </c>
      <c r="AO22" s="293">
        <v>64</v>
      </c>
      <c r="AP22" s="81">
        <v>64</v>
      </c>
      <c r="AQ22" s="351">
        <v>269</v>
      </c>
    </row>
    <row r="23" spans="1:43" s="31" customFormat="1" ht="12" customHeight="1">
      <c r="A23" s="34" t="s">
        <v>27</v>
      </c>
      <c r="B23" s="29"/>
      <c r="C23" s="92">
        <v>-70</v>
      </c>
      <c r="D23" s="30">
        <v>-34</v>
      </c>
      <c r="E23" s="30">
        <v>-5</v>
      </c>
      <c r="F23" s="30">
        <v>-70</v>
      </c>
      <c r="G23" s="30">
        <v>-179</v>
      </c>
      <c r="H23" s="29"/>
      <c r="I23" s="92">
        <v>-252</v>
      </c>
      <c r="J23" s="30">
        <v>59</v>
      </c>
      <c r="K23" s="30">
        <v>27</v>
      </c>
      <c r="L23" s="30">
        <v>-36</v>
      </c>
      <c r="M23" s="30">
        <v>-202</v>
      </c>
      <c r="N23" s="236"/>
      <c r="O23" s="92">
        <v>130</v>
      </c>
      <c r="P23" s="30">
        <v>-186</v>
      </c>
      <c r="Q23" s="30">
        <v>82</v>
      </c>
      <c r="R23" s="30">
        <v>-102</v>
      </c>
      <c r="S23" s="30">
        <f>SUM(O23:R23)</f>
        <v>-76</v>
      </c>
      <c r="U23" s="92">
        <v>70</v>
      </c>
      <c r="V23" s="30">
        <v>-2</v>
      </c>
      <c r="W23" s="30">
        <v>-110</v>
      </c>
      <c r="X23" s="30">
        <v>-171</v>
      </c>
      <c r="Y23" s="30">
        <f t="shared" si="0"/>
        <v>-213</v>
      </c>
      <c r="Z23" s="139"/>
      <c r="AA23" s="92">
        <v>-22</v>
      </c>
      <c r="AB23" s="30">
        <v>-6</v>
      </c>
      <c r="AC23" s="30">
        <v>-59</v>
      </c>
      <c r="AD23" s="30">
        <v>-49</v>
      </c>
      <c r="AE23" s="30">
        <v>-136</v>
      </c>
      <c r="AG23" s="92">
        <v>-19</v>
      </c>
      <c r="AH23" s="242">
        <f>48-57</f>
        <v>-9</v>
      </c>
      <c r="AI23" s="242">
        <f>34-63</f>
        <v>-29</v>
      </c>
      <c r="AJ23" s="242">
        <f>27-92</f>
        <v>-65</v>
      </c>
      <c r="AK23" s="30">
        <v>-122</v>
      </c>
      <c r="AL23" s="57"/>
      <c r="AM23" s="242">
        <v>-89</v>
      </c>
      <c r="AN23" s="242">
        <v>-45</v>
      </c>
      <c r="AO23" s="242">
        <v>-74</v>
      </c>
      <c r="AP23" s="81">
        <v>-32</v>
      </c>
      <c r="AQ23" s="81">
        <v>-240</v>
      </c>
    </row>
    <row r="24" spans="1:43" s="31" customFormat="1" ht="22.5" customHeight="1">
      <c r="A24" s="34" t="s">
        <v>196</v>
      </c>
      <c r="B24" s="29"/>
      <c r="C24" s="92" t="s">
        <v>187</v>
      </c>
      <c r="D24" s="30" t="s">
        <v>187</v>
      </c>
      <c r="E24" s="30" t="s">
        <v>187</v>
      </c>
      <c r="F24" s="30" t="s">
        <v>187</v>
      </c>
      <c r="G24" s="30" t="s">
        <v>187</v>
      </c>
      <c r="H24" s="29"/>
      <c r="I24" s="92" t="s">
        <v>187</v>
      </c>
      <c r="J24" s="30" t="s">
        <v>187</v>
      </c>
      <c r="K24" s="30" t="s">
        <v>187</v>
      </c>
      <c r="L24" s="30" t="s">
        <v>187</v>
      </c>
      <c r="M24" s="30" t="s">
        <v>187</v>
      </c>
      <c r="N24" s="236"/>
      <c r="O24" s="92" t="s">
        <v>187</v>
      </c>
      <c r="P24" s="30" t="s">
        <v>187</v>
      </c>
      <c r="Q24" s="30" t="s">
        <v>187</v>
      </c>
      <c r="R24" s="30" t="s">
        <v>187</v>
      </c>
      <c r="S24" s="30" t="s">
        <v>187</v>
      </c>
      <c r="U24" s="92" t="s">
        <v>187</v>
      </c>
      <c r="V24" s="30" t="s">
        <v>187</v>
      </c>
      <c r="W24" s="30" t="s">
        <v>187</v>
      </c>
      <c r="X24" s="30" t="s">
        <v>187</v>
      </c>
      <c r="Y24" s="30" t="s">
        <v>187</v>
      </c>
      <c r="Z24" s="139"/>
      <c r="AA24" s="92">
        <v>113</v>
      </c>
      <c r="AB24" s="30">
        <v>-72</v>
      </c>
      <c r="AC24" s="30">
        <v>11</v>
      </c>
      <c r="AD24" s="30">
        <v>-115</v>
      </c>
      <c r="AE24" s="30">
        <v>-63</v>
      </c>
      <c r="AG24" s="92">
        <v>80</v>
      </c>
      <c r="AH24" s="242">
        <f>83-21</f>
        <v>62</v>
      </c>
      <c r="AI24" s="242">
        <f>201-64-80-62</f>
        <v>-5</v>
      </c>
      <c r="AJ24" s="242">
        <f>67-120</f>
        <v>-53</v>
      </c>
      <c r="AK24" s="30">
        <v>84</v>
      </c>
      <c r="AL24" s="57"/>
      <c r="AM24" s="293">
        <v>287</v>
      </c>
      <c r="AN24" s="242">
        <v>-175</v>
      </c>
      <c r="AO24" s="242">
        <v>-99</v>
      </c>
      <c r="AP24" s="81">
        <v>-33</v>
      </c>
      <c r="AQ24" s="81">
        <v>-20</v>
      </c>
    </row>
    <row r="25" spans="1:43" s="31" customFormat="1" ht="12" customHeight="1">
      <c r="A25" s="34" t="s">
        <v>214</v>
      </c>
      <c r="B25" s="29"/>
      <c r="C25" s="92">
        <v>8</v>
      </c>
      <c r="D25" s="30">
        <v>31</v>
      </c>
      <c r="E25" s="30">
        <v>-18</v>
      </c>
      <c r="F25" s="30">
        <v>17</v>
      </c>
      <c r="G25" s="30">
        <v>38</v>
      </c>
      <c r="H25" s="29"/>
      <c r="I25" s="92">
        <v>-8</v>
      </c>
      <c r="J25" s="30">
        <v>58</v>
      </c>
      <c r="K25" s="30">
        <v>-1</v>
      </c>
      <c r="L25" s="30">
        <v>-28</v>
      </c>
      <c r="M25" s="30">
        <v>21</v>
      </c>
      <c r="N25" s="236"/>
      <c r="O25" s="92">
        <v>-8</v>
      </c>
      <c r="P25" s="30">
        <v>19</v>
      </c>
      <c r="Q25" s="30">
        <v>9</v>
      </c>
      <c r="R25" s="30">
        <v>-34</v>
      </c>
      <c r="S25" s="30">
        <f>SUM(O25:R25)</f>
        <v>-14</v>
      </c>
      <c r="U25" s="92">
        <v>-11</v>
      </c>
      <c r="V25" s="30">
        <v>0</v>
      </c>
      <c r="W25" s="30">
        <v>18</v>
      </c>
      <c r="X25" s="30">
        <v>17</v>
      </c>
      <c r="Y25" s="30">
        <f t="shared" si="0"/>
        <v>24</v>
      </c>
      <c r="Z25" s="139"/>
      <c r="AA25" s="92">
        <f>175-49-3-113</f>
        <v>10</v>
      </c>
      <c r="AB25" s="30">
        <v>89</v>
      </c>
      <c r="AC25" s="30">
        <v>22</v>
      </c>
      <c r="AD25" s="30">
        <v>-37</v>
      </c>
      <c r="AE25" s="30">
        <v>84</v>
      </c>
      <c r="AG25" s="92">
        <v>14</v>
      </c>
      <c r="AH25" s="242">
        <f>9+37+49-21</f>
        <v>74</v>
      </c>
      <c r="AI25" s="242">
        <f>22+6+25-5-19</f>
        <v>29</v>
      </c>
      <c r="AJ25" s="242">
        <v>-122</v>
      </c>
      <c r="AK25" s="30">
        <v>-5</v>
      </c>
      <c r="AL25" s="57"/>
      <c r="AM25" s="242">
        <f>-53+42</f>
        <v>-11</v>
      </c>
      <c r="AN25" s="242">
        <v>41</v>
      </c>
      <c r="AO25" s="242">
        <v>6</v>
      </c>
      <c r="AP25" s="81">
        <v>59</v>
      </c>
      <c r="AQ25" s="81">
        <v>95</v>
      </c>
    </row>
    <row r="26" spans="1:43" s="26" customFormat="1" ht="12" customHeight="1">
      <c r="A26" s="33" t="s">
        <v>38</v>
      </c>
      <c r="B26" s="24"/>
      <c r="C26" s="88">
        <v>-6</v>
      </c>
      <c r="D26" s="25">
        <f>-15-C26</f>
        <v>-9</v>
      </c>
      <c r="E26" s="25">
        <v>-81</v>
      </c>
      <c r="F26" s="25">
        <f>G26+96</f>
        <v>-87</v>
      </c>
      <c r="G26" s="25">
        <v>-183</v>
      </c>
      <c r="H26" s="24"/>
      <c r="I26" s="88">
        <v>-85</v>
      </c>
      <c r="J26" s="25">
        <f>-42-I26</f>
        <v>43</v>
      </c>
      <c r="K26" s="25">
        <v>-46</v>
      </c>
      <c r="L26" s="25">
        <v>-70</v>
      </c>
      <c r="M26" s="25">
        <f>SUM(I26:L26)</f>
        <v>-158</v>
      </c>
      <c r="N26" s="234"/>
      <c r="O26" s="88">
        <v>235</v>
      </c>
      <c r="P26" s="25">
        <f>-141-O26</f>
        <v>-376</v>
      </c>
      <c r="Q26" s="25">
        <v>199</v>
      </c>
      <c r="R26" s="25">
        <v>-599</v>
      </c>
      <c r="S26" s="25">
        <v>-541</v>
      </c>
      <c r="U26" s="88">
        <f>U27+U28+U29+U30+U31</f>
        <v>309</v>
      </c>
      <c r="V26" s="25">
        <f>V27+V28+V29+V30+V31</f>
        <v>382</v>
      </c>
      <c r="W26" s="25">
        <f>W27+W28+W29+W30+W31</f>
        <v>53</v>
      </c>
      <c r="X26" s="25">
        <v>289</v>
      </c>
      <c r="Y26" s="25">
        <f t="shared" si="0"/>
        <v>1033</v>
      </c>
      <c r="Z26" s="138"/>
      <c r="AA26" s="88">
        <f>AA27+AA28+AA29+AA30+AA31</f>
        <v>124</v>
      </c>
      <c r="AB26" s="25">
        <f>AB27+AB28+AB29+AB30+AB31</f>
        <v>-720</v>
      </c>
      <c r="AC26" s="25">
        <f>AC27+AC28+AC29+AC30+AC31</f>
        <v>97</v>
      </c>
      <c r="AD26" s="25">
        <f>AD27+AD28+AD29+AD30+AD31</f>
        <v>-275</v>
      </c>
      <c r="AE26" s="25">
        <f>AE27+AE28+AE29+AE30+AE31</f>
        <v>-774</v>
      </c>
      <c r="AG26" s="88">
        <f>AG27+AG28+AG29+AG30+AG31</f>
        <v>-173</v>
      </c>
      <c r="AH26" s="289">
        <f>AH27+AH28+AH29+AH30+AH31</f>
        <v>100</v>
      </c>
      <c r="AI26" s="289">
        <f>AI27+AI28+AI29+AI30+AI31</f>
        <v>-548</v>
      </c>
      <c r="AJ26" s="289">
        <f>AJ27+AJ28+AJ29+AJ30+AJ31</f>
        <v>117</v>
      </c>
      <c r="AK26" s="25">
        <v>-504</v>
      </c>
      <c r="AL26" s="56"/>
      <c r="AM26" s="289">
        <v>-496</v>
      </c>
      <c r="AN26" s="289">
        <v>345</v>
      </c>
      <c r="AO26" s="289">
        <f>+AO27+AO28+AO29+AO30+AO31</f>
        <v>89</v>
      </c>
      <c r="AP26" s="82">
        <f>AP27+AP28+AP29+AP30+AP31</f>
        <v>62</v>
      </c>
      <c r="AQ26" s="82">
        <f>AQ27+AQ28+AQ29+AQ30+AQ31</f>
        <v>0</v>
      </c>
    </row>
    <row r="27" spans="1:43" s="31" customFormat="1" ht="12" customHeight="1">
      <c r="A27" s="34" t="s">
        <v>215</v>
      </c>
      <c r="B27" s="29"/>
      <c r="C27" s="237">
        <v>5</v>
      </c>
      <c r="D27" s="238">
        <v>3</v>
      </c>
      <c r="E27" s="30">
        <v>-69</v>
      </c>
      <c r="F27" s="30">
        <v>-63</v>
      </c>
      <c r="G27" s="30">
        <v>-124</v>
      </c>
      <c r="H27" s="29"/>
      <c r="I27" s="92">
        <v>-62</v>
      </c>
      <c r="J27" s="30">
        <v>74</v>
      </c>
      <c r="K27" s="30">
        <v>3</v>
      </c>
      <c r="L27" s="30">
        <v>-44</v>
      </c>
      <c r="M27" s="30">
        <v>-29</v>
      </c>
      <c r="N27" s="236"/>
      <c r="O27" s="92">
        <v>276</v>
      </c>
      <c r="P27" s="30">
        <v>-344</v>
      </c>
      <c r="Q27" s="30">
        <v>246</v>
      </c>
      <c r="R27" s="30">
        <v>-576</v>
      </c>
      <c r="S27" s="30">
        <f>SUM(O27:R27)</f>
        <v>-398</v>
      </c>
      <c r="U27" s="92">
        <v>369</v>
      </c>
      <c r="V27" s="30">
        <v>443</v>
      </c>
      <c r="W27" s="30">
        <v>101</v>
      </c>
      <c r="X27" s="30">
        <v>334</v>
      </c>
      <c r="Y27" s="30">
        <f t="shared" si="0"/>
        <v>1247</v>
      </c>
      <c r="Z27" s="139"/>
      <c r="AA27" s="92">
        <v>150</v>
      </c>
      <c r="AB27" s="30">
        <v>-681</v>
      </c>
      <c r="AC27" s="30">
        <v>145</v>
      </c>
      <c r="AD27" s="30">
        <v>-206</v>
      </c>
      <c r="AE27" s="30">
        <v>-592</v>
      </c>
      <c r="AG27" s="92">
        <v>-107</v>
      </c>
      <c r="AH27" s="242">
        <f>165</f>
        <v>165</v>
      </c>
      <c r="AI27" s="242">
        <v>-532</v>
      </c>
      <c r="AJ27" s="242">
        <v>265</v>
      </c>
      <c r="AK27" s="30">
        <v>-209</v>
      </c>
      <c r="AL27" s="57"/>
      <c r="AM27" s="242">
        <v>-437</v>
      </c>
      <c r="AN27" s="242">
        <v>401</v>
      </c>
      <c r="AO27" s="242">
        <v>117</v>
      </c>
      <c r="AP27" s="81">
        <f>AQ27-AM27-AN27-AO27</f>
        <v>109</v>
      </c>
      <c r="AQ27" s="81">
        <v>190</v>
      </c>
    </row>
    <row r="28" spans="1:43" s="31" customFormat="1" ht="12" customHeight="1">
      <c r="A28" s="34" t="s">
        <v>29</v>
      </c>
      <c r="B28" s="29"/>
      <c r="C28" s="92">
        <v>-2</v>
      </c>
      <c r="D28" s="30">
        <v>-1</v>
      </c>
      <c r="E28" s="30">
        <v>-2</v>
      </c>
      <c r="F28" s="30">
        <v>-3</v>
      </c>
      <c r="G28" s="30">
        <v>-8</v>
      </c>
      <c r="H28" s="29"/>
      <c r="I28" s="92">
        <v>-3</v>
      </c>
      <c r="J28" s="30">
        <v>-8</v>
      </c>
      <c r="K28" s="30">
        <v>-9</v>
      </c>
      <c r="L28" s="30">
        <v>-11</v>
      </c>
      <c r="M28" s="30">
        <v>-31</v>
      </c>
      <c r="N28" s="236"/>
      <c r="O28" s="92">
        <v>-12</v>
      </c>
      <c r="P28" s="30">
        <v>-15</v>
      </c>
      <c r="Q28" s="30">
        <v>-16</v>
      </c>
      <c r="R28" s="30">
        <v>-33</v>
      </c>
      <c r="S28" s="30">
        <f>SUM(O28:R28)</f>
        <v>-76</v>
      </c>
      <c r="U28" s="92">
        <v>-29</v>
      </c>
      <c r="V28" s="30">
        <v>-29</v>
      </c>
      <c r="W28" s="30">
        <v>-28</v>
      </c>
      <c r="X28" s="30">
        <v>-27</v>
      </c>
      <c r="Y28" s="30">
        <f t="shared" si="0"/>
        <v>-113</v>
      </c>
      <c r="Z28" s="139"/>
      <c r="AA28" s="92">
        <v>-24</v>
      </c>
      <c r="AB28" s="30">
        <v>-34</v>
      </c>
      <c r="AC28" s="30">
        <v>-32</v>
      </c>
      <c r="AD28" s="30">
        <v>-37</v>
      </c>
      <c r="AE28" s="30">
        <v>-127</v>
      </c>
      <c r="AG28" s="92">
        <v>-37</v>
      </c>
      <c r="AH28" s="242">
        <v>-43</v>
      </c>
      <c r="AI28" s="242">
        <v>5</v>
      </c>
      <c r="AJ28" s="242">
        <v>-108</v>
      </c>
      <c r="AK28" s="30">
        <v>-183</v>
      </c>
      <c r="AL28" s="57"/>
      <c r="AM28" s="242">
        <v>-41</v>
      </c>
      <c r="AN28" s="242">
        <v>-48</v>
      </c>
      <c r="AO28" s="242">
        <v>-22</v>
      </c>
      <c r="AP28" s="81">
        <f>AQ28-AM28-AN28-AO28</f>
        <v>-37</v>
      </c>
      <c r="AQ28" s="81">
        <v>-148</v>
      </c>
    </row>
    <row r="29" spans="1:43" s="31" customFormat="1" ht="12" customHeight="1">
      <c r="A29" s="34" t="s">
        <v>209</v>
      </c>
      <c r="B29" s="239"/>
      <c r="C29" s="240" t="s">
        <v>34</v>
      </c>
      <c r="D29" s="241">
        <v>-1</v>
      </c>
      <c r="E29" s="241" t="s">
        <v>34</v>
      </c>
      <c r="F29" s="241">
        <v>-13</v>
      </c>
      <c r="G29" s="242">
        <v>-14</v>
      </c>
      <c r="H29" s="29"/>
      <c r="I29" s="92">
        <v>-11</v>
      </c>
      <c r="J29" s="30">
        <v>-11</v>
      </c>
      <c r="K29" s="30">
        <v>-19</v>
      </c>
      <c r="L29" s="30">
        <v>-7</v>
      </c>
      <c r="M29" s="30">
        <v>-48</v>
      </c>
      <c r="N29" s="236"/>
      <c r="O29" s="92">
        <v>-10</v>
      </c>
      <c r="P29" s="30">
        <v>-7</v>
      </c>
      <c r="Q29" s="30">
        <v>-20</v>
      </c>
      <c r="R29" s="30">
        <v>-8</v>
      </c>
      <c r="S29" s="30">
        <f>SUM(O29:R29)</f>
        <v>-45</v>
      </c>
      <c r="U29" s="92">
        <v>-7</v>
      </c>
      <c r="V29" s="30">
        <v>-7</v>
      </c>
      <c r="W29" s="30">
        <v>-6</v>
      </c>
      <c r="X29" s="30">
        <v>-8</v>
      </c>
      <c r="Y29" s="30">
        <f t="shared" si="0"/>
        <v>-28</v>
      </c>
      <c r="Z29" s="139"/>
      <c r="AA29" s="92">
        <v>-6</v>
      </c>
      <c r="AB29" s="30">
        <v>-6</v>
      </c>
      <c r="AC29" s="30">
        <v>-6</v>
      </c>
      <c r="AD29" s="30">
        <v>-5</v>
      </c>
      <c r="AE29" s="30">
        <v>-23</v>
      </c>
      <c r="AG29" s="92">
        <v>-6</v>
      </c>
      <c r="AH29" s="242">
        <v>-7</v>
      </c>
      <c r="AI29" s="242">
        <v>-10</v>
      </c>
      <c r="AJ29" s="242">
        <v>-26</v>
      </c>
      <c r="AK29" s="30">
        <v>-49</v>
      </c>
      <c r="AL29" s="57"/>
      <c r="AM29" s="242">
        <v>-6</v>
      </c>
      <c r="AN29" s="242">
        <v>-10</v>
      </c>
      <c r="AO29" s="242">
        <v>-5</v>
      </c>
      <c r="AP29" s="81">
        <f>AQ29-AM29-AN29-AO29</f>
        <v>-6</v>
      </c>
      <c r="AQ29" s="81">
        <v>-27</v>
      </c>
    </row>
    <row r="30" spans="1:43" s="31" customFormat="1" ht="12" customHeight="1">
      <c r="A30" s="300" t="s">
        <v>27</v>
      </c>
      <c r="B30" s="29"/>
      <c r="C30" s="237" t="s">
        <v>34</v>
      </c>
      <c r="D30" s="238" t="s">
        <v>34</v>
      </c>
      <c r="E30" s="238" t="s">
        <v>34</v>
      </c>
      <c r="F30" s="238" t="s">
        <v>34</v>
      </c>
      <c r="G30" s="30">
        <v>0</v>
      </c>
      <c r="H30" s="29"/>
      <c r="I30" s="237">
        <v>0</v>
      </c>
      <c r="J30" s="30">
        <v>-2</v>
      </c>
      <c r="K30" s="30">
        <v>-11</v>
      </c>
      <c r="L30" s="30">
        <v>1</v>
      </c>
      <c r="M30" s="30">
        <v>-12</v>
      </c>
      <c r="N30" s="236"/>
      <c r="O30" s="92">
        <v>-8</v>
      </c>
      <c r="P30" s="30">
        <v>-2</v>
      </c>
      <c r="Q30" s="30">
        <v>-1</v>
      </c>
      <c r="R30" s="30">
        <v>28</v>
      </c>
      <c r="S30" s="30">
        <f>SUM(O30:R30)</f>
        <v>17</v>
      </c>
      <c r="U30" s="92">
        <v>-13</v>
      </c>
      <c r="V30" s="30">
        <v>-14</v>
      </c>
      <c r="W30" s="30">
        <v>-3</v>
      </c>
      <c r="X30" s="30">
        <v>0</v>
      </c>
      <c r="Y30" s="30">
        <f t="shared" si="0"/>
        <v>-30</v>
      </c>
      <c r="Z30" s="139"/>
      <c r="AA30" s="92">
        <v>15</v>
      </c>
      <c r="AB30" s="30">
        <v>11</v>
      </c>
      <c r="AC30" s="30">
        <v>2</v>
      </c>
      <c r="AD30" s="30">
        <v>-17</v>
      </c>
      <c r="AE30" s="30">
        <v>11</v>
      </c>
      <c r="AG30" s="92">
        <v>-12</v>
      </c>
      <c r="AH30" s="242">
        <f>2-7</f>
        <v>-5</v>
      </c>
      <c r="AI30" s="242">
        <v>-1</v>
      </c>
      <c r="AJ30" s="242">
        <f>-39-2</f>
        <v>-41</v>
      </c>
      <c r="AK30" s="30">
        <v>-59</v>
      </c>
      <c r="AL30" s="57"/>
      <c r="AM30" s="242">
        <v>-3</v>
      </c>
      <c r="AN30" s="242">
        <v>-3</v>
      </c>
      <c r="AO30" s="242">
        <v>1</v>
      </c>
      <c r="AP30" s="81">
        <f>AQ30-AM30-AN30-AO30</f>
        <v>-2</v>
      </c>
      <c r="AQ30" s="81">
        <v>-7</v>
      </c>
    </row>
    <row r="31" spans="1:43" s="31" customFormat="1" ht="12" customHeight="1">
      <c r="A31" s="34" t="s">
        <v>147</v>
      </c>
      <c r="B31" s="29"/>
      <c r="C31" s="92">
        <v>-9</v>
      </c>
      <c r="D31" s="30">
        <v>-10</v>
      </c>
      <c r="E31" s="30">
        <v>-10</v>
      </c>
      <c r="F31" s="30">
        <v>-8</v>
      </c>
      <c r="G31" s="30">
        <v>-37</v>
      </c>
      <c r="H31" s="29"/>
      <c r="I31" s="92">
        <v>-9</v>
      </c>
      <c r="J31" s="30">
        <v>-10</v>
      </c>
      <c r="K31" s="30">
        <v>-10</v>
      </c>
      <c r="L31" s="30">
        <v>-9</v>
      </c>
      <c r="M31" s="30">
        <v>-38</v>
      </c>
      <c r="N31" s="236"/>
      <c r="O31" s="92">
        <v>-11</v>
      </c>
      <c r="P31" s="30">
        <v>-8</v>
      </c>
      <c r="Q31" s="30">
        <v>-10</v>
      </c>
      <c r="R31" s="30">
        <v>-10</v>
      </c>
      <c r="S31" s="30">
        <f>SUM(O31:R31)</f>
        <v>-39</v>
      </c>
      <c r="U31" s="92">
        <v>-11</v>
      </c>
      <c r="V31" s="30">
        <v>-11</v>
      </c>
      <c r="W31" s="30">
        <v>-11</v>
      </c>
      <c r="X31" s="30">
        <v>-10</v>
      </c>
      <c r="Y31" s="30">
        <f t="shared" si="0"/>
        <v>-43</v>
      </c>
      <c r="Z31" s="139"/>
      <c r="AA31" s="92">
        <v>-11</v>
      </c>
      <c r="AB31" s="30">
        <v>-10</v>
      </c>
      <c r="AC31" s="30">
        <v>-12</v>
      </c>
      <c r="AD31" s="30">
        <v>-10</v>
      </c>
      <c r="AE31" s="30">
        <v>-43</v>
      </c>
      <c r="AG31" s="92">
        <v>-11</v>
      </c>
      <c r="AH31" s="242">
        <f>-10</f>
        <v>-10</v>
      </c>
      <c r="AI31" s="242">
        <f>-10</f>
        <v>-10</v>
      </c>
      <c r="AJ31" s="242">
        <f>35-10+2</f>
        <v>27</v>
      </c>
      <c r="AK31" s="30">
        <v>-4</v>
      </c>
      <c r="AL31" s="57"/>
      <c r="AM31" s="242">
        <v>-9</v>
      </c>
      <c r="AN31" s="242">
        <v>5</v>
      </c>
      <c r="AO31" s="242">
        <v>-2</v>
      </c>
      <c r="AP31" s="81">
        <f>AQ31-AM31-AN31-AO31</f>
        <v>-2</v>
      </c>
      <c r="AQ31" s="81">
        <v>-8</v>
      </c>
    </row>
    <row r="32" spans="1:43" s="31" customFormat="1" ht="12" customHeight="1">
      <c r="A32" s="189" t="s">
        <v>62</v>
      </c>
      <c r="B32" s="188"/>
      <c r="C32" s="88">
        <f>C17+C18+C26</f>
        <v>712</v>
      </c>
      <c r="D32" s="25">
        <f>D17+D18+D26</f>
        <v>819</v>
      </c>
      <c r="E32" s="25">
        <f>E17+E18+E26</f>
        <v>872</v>
      </c>
      <c r="F32" s="25">
        <f>F17+F18+F26</f>
        <v>959</v>
      </c>
      <c r="G32" s="25">
        <f>G17+G18+G26</f>
        <v>3362</v>
      </c>
      <c r="H32" s="188"/>
      <c r="I32" s="88">
        <f>I17+I18+I26</f>
        <v>705</v>
      </c>
      <c r="J32" s="25">
        <f>J17+J18+J26</f>
        <v>1176</v>
      </c>
      <c r="K32" s="25">
        <f>K17+K18+K26</f>
        <v>521</v>
      </c>
      <c r="L32" s="25">
        <f>L17+L18+L26</f>
        <v>-4340</v>
      </c>
      <c r="M32" s="25">
        <f>M17+M18+M26</f>
        <v>-1938</v>
      </c>
      <c r="N32" s="234"/>
      <c r="O32" s="88">
        <f>O17+O18+O26</f>
        <v>532</v>
      </c>
      <c r="P32" s="25">
        <f>P17+P18+P26</f>
        <v>500</v>
      </c>
      <c r="Q32" s="25">
        <f>Q17+Q18+Q26</f>
        <v>800</v>
      </c>
      <c r="R32" s="25">
        <f>R17+R18+R26</f>
        <v>-5207</v>
      </c>
      <c r="S32" s="25">
        <f>S26+S18+S17</f>
        <v>-3375</v>
      </c>
      <c r="U32" s="88">
        <f>U17+U18+U26</f>
        <v>1104</v>
      </c>
      <c r="V32" s="25">
        <f>V17+V18+V26</f>
        <v>725</v>
      </c>
      <c r="W32" s="25">
        <f>W17+W18+W26</f>
        <v>673</v>
      </c>
      <c r="X32" s="25">
        <v>-348</v>
      </c>
      <c r="Y32" s="25">
        <f t="shared" si="0"/>
        <v>2154</v>
      </c>
      <c r="Z32" s="138"/>
      <c r="AA32" s="88">
        <f>AA17+AA18+AA26</f>
        <v>727</v>
      </c>
      <c r="AB32" s="25">
        <f>AB17+AB18+AB26</f>
        <v>551</v>
      </c>
      <c r="AC32" s="25">
        <f>AC17+AC18+AC26</f>
        <v>650</v>
      </c>
      <c r="AD32" s="25">
        <f>AD17+AD18+AD26</f>
        <v>744</v>
      </c>
      <c r="AE32" s="25">
        <f>AE17+AE18+AE26</f>
        <v>2672</v>
      </c>
      <c r="AG32" s="88">
        <f>AG17+AG18+AG26</f>
        <v>931</v>
      </c>
      <c r="AH32" s="289">
        <f>AH17+AH18+AH26</f>
        <v>781</v>
      </c>
      <c r="AI32" s="289">
        <f>AI17+AI18+AI26</f>
        <v>658</v>
      </c>
      <c r="AJ32" s="289">
        <f>AJ17+AJ18+AJ26</f>
        <v>-443</v>
      </c>
      <c r="AK32" s="25">
        <v>1927</v>
      </c>
      <c r="AL32" s="57"/>
      <c r="AM32" s="327">
        <v>608</v>
      </c>
      <c r="AN32" s="327">
        <v>533</v>
      </c>
      <c r="AO32" s="327">
        <f>+AO17+AO18+AO26</f>
        <v>686</v>
      </c>
      <c r="AP32" s="350">
        <f>AP17+AP18+AP26</f>
        <v>940</v>
      </c>
      <c r="AQ32" s="350">
        <f>AQ17+AQ18+AQ26</f>
        <v>2767</v>
      </c>
    </row>
    <row r="33" spans="1:43" s="31" customFormat="1" ht="12" customHeight="1">
      <c r="A33" s="187" t="s">
        <v>2</v>
      </c>
      <c r="B33" s="29"/>
      <c r="C33" s="92">
        <v>-205</v>
      </c>
      <c r="D33" s="30">
        <v>-207</v>
      </c>
      <c r="E33" s="30">
        <v>-243</v>
      </c>
      <c r="F33" s="30">
        <v>-293</v>
      </c>
      <c r="G33" s="30">
        <v>-948</v>
      </c>
      <c r="H33" s="29"/>
      <c r="I33" s="92">
        <v>-208</v>
      </c>
      <c r="J33" s="30">
        <v>-352</v>
      </c>
      <c r="K33" s="30">
        <v>-167</v>
      </c>
      <c r="L33" s="30">
        <v>-123</v>
      </c>
      <c r="M33" s="30">
        <v>-850</v>
      </c>
      <c r="N33" s="236"/>
      <c r="O33" s="92">
        <v>-162</v>
      </c>
      <c r="P33" s="30">
        <v>-202</v>
      </c>
      <c r="Q33" s="30">
        <v>-186</v>
      </c>
      <c r="R33" s="30">
        <v>-160</v>
      </c>
      <c r="S33" s="30">
        <v>-710</v>
      </c>
      <c r="U33" s="92">
        <v>-299</v>
      </c>
      <c r="V33" s="30">
        <v>-220</v>
      </c>
      <c r="W33" s="30">
        <v>-133</v>
      </c>
      <c r="X33" s="30">
        <v>-179</v>
      </c>
      <c r="Y33" s="30">
        <f t="shared" si="0"/>
        <v>-831</v>
      </c>
      <c r="Z33" s="139"/>
      <c r="AA33" s="92">
        <v>-197</v>
      </c>
      <c r="AB33" s="30">
        <v>-94</v>
      </c>
      <c r="AC33" s="30">
        <v>-207</v>
      </c>
      <c r="AD33" s="30">
        <v>-149</v>
      </c>
      <c r="AE33" s="30">
        <v>-647</v>
      </c>
      <c r="AG33" s="92">
        <v>-236</v>
      </c>
      <c r="AH33" s="242">
        <v>-249</v>
      </c>
      <c r="AI33" s="242">
        <v>-222</v>
      </c>
      <c r="AJ33" s="242">
        <v>44</v>
      </c>
      <c r="AK33" s="30">
        <v>-663</v>
      </c>
      <c r="AL33" s="57"/>
      <c r="AM33" s="242">
        <v>-209</v>
      </c>
      <c r="AN33" s="242">
        <v>-185</v>
      </c>
      <c r="AO33" s="242">
        <v>-277</v>
      </c>
      <c r="AP33" s="81">
        <v>-317</v>
      </c>
      <c r="AQ33" s="81">
        <v>-988</v>
      </c>
    </row>
    <row r="34" spans="1:43" s="31" customFormat="1" ht="12" customHeight="1">
      <c r="A34" s="189" t="s">
        <v>148</v>
      </c>
      <c r="B34" s="35"/>
      <c r="C34" s="88">
        <f>C32+C33</f>
        <v>507</v>
      </c>
      <c r="D34" s="25">
        <f>D32+D33</f>
        <v>612</v>
      </c>
      <c r="E34" s="25">
        <f>E32+E33</f>
        <v>629</v>
      </c>
      <c r="F34" s="25">
        <f>F32+F33</f>
        <v>666</v>
      </c>
      <c r="G34" s="25">
        <f>G32+G33</f>
        <v>2414</v>
      </c>
      <c r="H34" s="35"/>
      <c r="I34" s="88">
        <f>I32+I33</f>
        <v>497</v>
      </c>
      <c r="J34" s="25">
        <f>J32+J33</f>
        <v>824</v>
      </c>
      <c r="K34" s="25">
        <f>K32+K33</f>
        <v>354</v>
      </c>
      <c r="L34" s="25">
        <f>L32+L33</f>
        <v>-4463</v>
      </c>
      <c r="M34" s="25">
        <f>M32+M33</f>
        <v>-2788</v>
      </c>
      <c r="N34" s="234"/>
      <c r="O34" s="88">
        <f>O32+O33</f>
        <v>370</v>
      </c>
      <c r="P34" s="25">
        <f>P32+P33</f>
        <v>298</v>
      </c>
      <c r="Q34" s="25">
        <f>Q32+Q33</f>
        <v>614</v>
      </c>
      <c r="R34" s="25">
        <f>R32+R33</f>
        <v>-5367</v>
      </c>
      <c r="S34" s="25">
        <f>S32+S33</f>
        <v>-4085</v>
      </c>
      <c r="U34" s="88">
        <f>U32+U33</f>
        <v>805</v>
      </c>
      <c r="V34" s="25">
        <f>V32+V33</f>
        <v>505</v>
      </c>
      <c r="W34" s="25">
        <f>W32+W33</f>
        <v>540</v>
      </c>
      <c r="X34" s="25">
        <v>-527</v>
      </c>
      <c r="Y34" s="25">
        <f t="shared" si="0"/>
        <v>1323</v>
      </c>
      <c r="Z34" s="138"/>
      <c r="AA34" s="88">
        <f>AA32+AA33</f>
        <v>530</v>
      </c>
      <c r="AB34" s="25">
        <f>AB32+AB33</f>
        <v>457</v>
      </c>
      <c r="AC34" s="25">
        <f>AC32+AC33</f>
        <v>443</v>
      </c>
      <c r="AD34" s="25">
        <f>AD32+AD33</f>
        <v>595</v>
      </c>
      <c r="AE34" s="25">
        <f>AE32+AE33</f>
        <v>2025</v>
      </c>
      <c r="AG34" s="88">
        <f>AG32+AG33</f>
        <v>695</v>
      </c>
      <c r="AH34" s="289">
        <f>AH32+AH33</f>
        <v>532</v>
      </c>
      <c r="AI34" s="289">
        <f>AI32+AI33</f>
        <v>436</v>
      </c>
      <c r="AJ34" s="289">
        <f>AJ32+AJ33</f>
        <v>-399</v>
      </c>
      <c r="AK34" s="25">
        <v>1264</v>
      </c>
      <c r="AL34" s="57"/>
      <c r="AM34" s="327">
        <v>399</v>
      </c>
      <c r="AN34" s="327">
        <v>348</v>
      </c>
      <c r="AO34" s="327">
        <f>+AO32+AO33</f>
        <v>409</v>
      </c>
      <c r="AP34" s="350">
        <f>AP32+AP33</f>
        <v>623</v>
      </c>
      <c r="AQ34" s="350">
        <f>AQ32+AQ33</f>
        <v>1779</v>
      </c>
    </row>
    <row r="35" spans="1:41" s="31" customFormat="1" ht="12" customHeight="1">
      <c r="A35" s="52"/>
      <c r="B35" s="52"/>
      <c r="C35" s="243"/>
      <c r="D35" s="243"/>
      <c r="E35" s="243"/>
      <c r="F35" s="243"/>
      <c r="G35" s="243"/>
      <c r="H35" s="29"/>
      <c r="I35" s="243"/>
      <c r="J35" s="243"/>
      <c r="K35" s="243"/>
      <c r="L35" s="243"/>
      <c r="M35" s="243"/>
      <c r="N35" s="244"/>
      <c r="O35" s="244"/>
      <c r="P35" s="244"/>
      <c r="Q35" s="244"/>
      <c r="R35" s="244"/>
      <c r="S35" s="245"/>
      <c r="U35" s="244"/>
      <c r="V35" s="244"/>
      <c r="W35" s="244"/>
      <c r="X35" s="244"/>
      <c r="Y35" s="245"/>
      <c r="Z35" s="245"/>
      <c r="AH35" s="246"/>
      <c r="AI35" s="312"/>
      <c r="AJ35" s="312"/>
      <c r="AM35" s="319"/>
      <c r="AN35" s="319"/>
      <c r="AO35" s="319"/>
    </row>
    <row r="36" spans="1:43" s="31" customFormat="1" ht="12" customHeight="1">
      <c r="A36" s="247" t="s">
        <v>63</v>
      </c>
      <c r="B36" s="37"/>
      <c r="C36" s="95">
        <v>206</v>
      </c>
      <c r="D36" s="96">
        <v>213</v>
      </c>
      <c r="E36" s="96">
        <v>210</v>
      </c>
      <c r="F36" s="96">
        <v>189</v>
      </c>
      <c r="G36" s="96">
        <v>818</v>
      </c>
      <c r="H36" s="29"/>
      <c r="I36" s="95">
        <v>226</v>
      </c>
      <c r="J36" s="96">
        <v>203</v>
      </c>
      <c r="K36" s="96">
        <v>226</v>
      </c>
      <c r="L36" s="96">
        <v>220</v>
      </c>
      <c r="M36" s="96">
        <v>875</v>
      </c>
      <c r="N36" s="234"/>
      <c r="O36" s="248">
        <v>214</v>
      </c>
      <c r="P36" s="249">
        <v>237</v>
      </c>
      <c r="Q36" s="249">
        <v>249</v>
      </c>
      <c r="R36" s="249">
        <v>256</v>
      </c>
      <c r="S36" s="30">
        <v>956</v>
      </c>
      <c r="U36" s="248">
        <v>239</v>
      </c>
      <c r="V36" s="249">
        <v>257</v>
      </c>
      <c r="W36" s="249">
        <v>256</v>
      </c>
      <c r="X36" s="249">
        <v>283</v>
      </c>
      <c r="Y36" s="30">
        <v>1035</v>
      </c>
      <c r="Z36" s="139"/>
      <c r="AA36" s="92">
        <v>251</v>
      </c>
      <c r="AB36" s="30">
        <v>283</v>
      </c>
      <c r="AC36" s="30">
        <v>286</v>
      </c>
      <c r="AD36" s="30">
        <v>299</v>
      </c>
      <c r="AE36" s="30">
        <v>1119</v>
      </c>
      <c r="AG36" s="92">
        <v>274</v>
      </c>
      <c r="AH36" s="242">
        <v>312</v>
      </c>
      <c r="AI36" s="242">
        <f>893-274-312</f>
        <v>307</v>
      </c>
      <c r="AJ36" s="242">
        <f>1220-274-312-307</f>
        <v>327</v>
      </c>
      <c r="AK36" s="30">
        <v>1220</v>
      </c>
      <c r="AL36" s="57"/>
      <c r="AM36" s="242">
        <v>284</v>
      </c>
      <c r="AN36" s="242">
        <v>311</v>
      </c>
      <c r="AO36" s="242">
        <v>301</v>
      </c>
      <c r="AP36" s="351">
        <v>397</v>
      </c>
      <c r="AQ36" s="351">
        <v>1293</v>
      </c>
    </row>
    <row r="37" spans="1:43" s="31" customFormat="1" ht="12" customHeight="1">
      <c r="A37" s="89" t="s">
        <v>149</v>
      </c>
      <c r="B37" s="37"/>
      <c r="C37" s="95">
        <v>982</v>
      </c>
      <c r="D37" s="96">
        <v>1037</v>
      </c>
      <c r="E37" s="96">
        <v>1112</v>
      </c>
      <c r="F37" s="96">
        <v>1200</v>
      </c>
      <c r="G37" s="96">
        <v>4331</v>
      </c>
      <c r="H37" s="29"/>
      <c r="I37" s="95">
        <v>1095</v>
      </c>
      <c r="J37" s="96">
        <v>1269</v>
      </c>
      <c r="K37" s="96">
        <v>888</v>
      </c>
      <c r="L37" s="96">
        <v>907</v>
      </c>
      <c r="M37" s="96">
        <v>4159</v>
      </c>
      <c r="N37" s="234"/>
      <c r="O37" s="248">
        <v>673</v>
      </c>
      <c r="P37" s="249">
        <v>790</v>
      </c>
      <c r="Q37" s="249">
        <v>931</v>
      </c>
      <c r="R37" s="249">
        <v>1157</v>
      </c>
      <c r="S37" s="30">
        <v>3551</v>
      </c>
      <c r="U37" s="248">
        <v>1304</v>
      </c>
      <c r="V37" s="249">
        <v>927</v>
      </c>
      <c r="W37" s="249">
        <v>968</v>
      </c>
      <c r="X37" s="249">
        <v>961</v>
      </c>
      <c r="Y37" s="30">
        <v>4160</v>
      </c>
      <c r="Z37" s="139"/>
      <c r="AA37" s="92">
        <v>771</v>
      </c>
      <c r="AB37" s="30">
        <v>929</v>
      </c>
      <c r="AC37" s="30">
        <v>888</v>
      </c>
      <c r="AD37" s="30">
        <v>828</v>
      </c>
      <c r="AE37" s="30">
        <v>3416</v>
      </c>
      <c r="AG37" s="92">
        <v>999</v>
      </c>
      <c r="AH37" s="242">
        <v>920</v>
      </c>
      <c r="AI37" s="242">
        <f>AI17+AI36</f>
        <v>949</v>
      </c>
      <c r="AJ37" s="242">
        <f>3612-949-920-999</f>
        <v>744</v>
      </c>
      <c r="AK37" s="30">
        <v>3612</v>
      </c>
      <c r="AL37" s="57"/>
      <c r="AM37" s="293">
        <v>900</v>
      </c>
      <c r="AN37" s="293">
        <v>1031</v>
      </c>
      <c r="AO37" s="293">
        <v>1121</v>
      </c>
      <c r="AP37" s="351">
        <v>1406</v>
      </c>
      <c r="AQ37" s="351">
        <v>4458</v>
      </c>
    </row>
    <row r="38" spans="1:43" s="31" customFormat="1" ht="36.75" customHeight="1">
      <c r="A38" s="187" t="s">
        <v>150</v>
      </c>
      <c r="B38" s="29"/>
      <c r="C38" s="95">
        <v>982</v>
      </c>
      <c r="D38" s="96">
        <v>1041</v>
      </c>
      <c r="E38" s="96">
        <v>1163</v>
      </c>
      <c r="F38" s="96">
        <v>1235</v>
      </c>
      <c r="G38" s="96">
        <v>4331</v>
      </c>
      <c r="H38" s="29"/>
      <c r="I38" s="95">
        <v>1095</v>
      </c>
      <c r="J38" s="96">
        <v>1269</v>
      </c>
      <c r="K38" s="96">
        <v>888</v>
      </c>
      <c r="L38" s="96">
        <v>911</v>
      </c>
      <c r="M38" s="96">
        <v>4163</v>
      </c>
      <c r="N38" s="234"/>
      <c r="O38" s="95">
        <v>673</v>
      </c>
      <c r="P38" s="96">
        <v>790</v>
      </c>
      <c r="Q38" s="96">
        <v>931</v>
      </c>
      <c r="R38" s="96">
        <v>1157</v>
      </c>
      <c r="S38" s="25">
        <v>3551</v>
      </c>
      <c r="U38" s="95">
        <v>1304</v>
      </c>
      <c r="V38" s="96">
        <v>927</v>
      </c>
      <c r="W38" s="96">
        <v>968</v>
      </c>
      <c r="X38" s="96">
        <v>961</v>
      </c>
      <c r="Y38" s="25">
        <v>4160</v>
      </c>
      <c r="Z38" s="138"/>
      <c r="AA38" s="88">
        <v>771</v>
      </c>
      <c r="AB38" s="25">
        <v>929</v>
      </c>
      <c r="AC38" s="25">
        <v>888</v>
      </c>
      <c r="AD38" s="25">
        <v>828</v>
      </c>
      <c r="AE38" s="25">
        <v>3416</v>
      </c>
      <c r="AG38" s="88">
        <v>999</v>
      </c>
      <c r="AH38" s="289">
        <v>920</v>
      </c>
      <c r="AI38" s="289">
        <v>949</v>
      </c>
      <c r="AJ38" s="289">
        <f>3619-949-920-999</f>
        <v>751</v>
      </c>
      <c r="AK38" s="25">
        <v>3619</v>
      </c>
      <c r="AL38" s="57"/>
      <c r="AM38" s="327">
        <v>900</v>
      </c>
      <c r="AN38" s="327">
        <v>1031</v>
      </c>
      <c r="AO38" s="327">
        <v>1121</v>
      </c>
      <c r="AP38" s="350">
        <v>1406</v>
      </c>
      <c r="AQ38" s="350">
        <v>4458</v>
      </c>
    </row>
    <row r="39" spans="1:41" s="31" customFormat="1" ht="12" customHeight="1">
      <c r="A39" s="89"/>
      <c r="B39" s="37"/>
      <c r="C39" s="96"/>
      <c r="D39" s="96"/>
      <c r="E39" s="96"/>
      <c r="F39" s="96"/>
      <c r="G39" s="96"/>
      <c r="H39" s="29"/>
      <c r="I39" s="96"/>
      <c r="J39" s="96"/>
      <c r="K39" s="96"/>
      <c r="L39" s="96"/>
      <c r="M39" s="96"/>
      <c r="N39" s="234"/>
      <c r="O39" s="250"/>
      <c r="P39" s="250"/>
      <c r="Q39" s="250"/>
      <c r="R39" s="250"/>
      <c r="S39" s="25"/>
      <c r="U39" s="250"/>
      <c r="V39" s="250"/>
      <c r="W39" s="250"/>
      <c r="X39" s="250"/>
      <c r="Y39" s="25"/>
      <c r="Z39" s="138"/>
      <c r="AA39" s="25"/>
      <c r="AB39" s="25" t="s">
        <v>191</v>
      </c>
      <c r="AC39" s="25"/>
      <c r="AD39" s="25"/>
      <c r="AE39" s="25"/>
      <c r="AG39" s="25"/>
      <c r="AH39" s="251"/>
      <c r="AI39" s="289"/>
      <c r="AJ39" s="326"/>
      <c r="AK39" s="326"/>
      <c r="AM39" s="326"/>
      <c r="AN39" s="326"/>
      <c r="AO39" s="326"/>
    </row>
    <row r="40" spans="1:43" s="31" customFormat="1" ht="12" customHeight="1">
      <c r="A40" s="89" t="s">
        <v>33</v>
      </c>
      <c r="B40" s="37"/>
      <c r="C40" s="252">
        <v>1.77</v>
      </c>
      <c r="D40" s="89">
        <v>1.82</v>
      </c>
      <c r="E40" s="89">
        <v>1.88</v>
      </c>
      <c r="F40" s="89">
        <v>1.82</v>
      </c>
      <c r="G40" s="89">
        <v>1.82</v>
      </c>
      <c r="H40" s="37"/>
      <c r="I40" s="253">
        <v>1.46</v>
      </c>
      <c r="J40" s="254">
        <v>1.52</v>
      </c>
      <c r="K40" s="254">
        <v>1.49</v>
      </c>
      <c r="L40" s="254">
        <v>1.4</v>
      </c>
      <c r="M40" s="254">
        <v>1.47</v>
      </c>
      <c r="N40" s="255"/>
      <c r="O40" s="253">
        <v>1.33</v>
      </c>
      <c r="P40" s="254">
        <v>1.32</v>
      </c>
      <c r="Q40" s="254">
        <v>1.18</v>
      </c>
      <c r="R40" s="254">
        <v>1.34</v>
      </c>
      <c r="S40" s="102">
        <v>1.3</v>
      </c>
      <c r="U40" s="253">
        <v>1.33</v>
      </c>
      <c r="V40" s="254">
        <v>1.34</v>
      </c>
      <c r="W40" s="254">
        <v>1.42</v>
      </c>
      <c r="X40" s="254">
        <v>1.84</v>
      </c>
      <c r="Y40" s="102">
        <v>1.52</v>
      </c>
      <c r="Z40" s="256"/>
      <c r="AA40" s="101">
        <v>1.83</v>
      </c>
      <c r="AB40" s="102">
        <v>1.96</v>
      </c>
      <c r="AC40" s="102">
        <v>1.82</v>
      </c>
      <c r="AD40" s="102">
        <v>1.79</v>
      </c>
      <c r="AE40" s="102">
        <v>1.85</v>
      </c>
      <c r="AG40" s="101">
        <v>1.76</v>
      </c>
      <c r="AH40" s="295">
        <v>1.85</v>
      </c>
      <c r="AI40" s="295">
        <v>1.53</v>
      </c>
      <c r="AJ40" s="295">
        <v>1.83</v>
      </c>
      <c r="AK40" s="295">
        <v>1.74</v>
      </c>
      <c r="AL40" s="57"/>
      <c r="AM40" s="295">
        <v>1.58</v>
      </c>
      <c r="AN40" s="295">
        <v>1.59</v>
      </c>
      <c r="AO40" s="295">
        <v>1.61</v>
      </c>
      <c r="AP40" s="347">
        <v>1.68</v>
      </c>
      <c r="AQ40" s="347">
        <v>1.62</v>
      </c>
    </row>
    <row r="41" spans="1:41" s="31" customFormat="1" ht="12" customHeight="1">
      <c r="A41" s="257"/>
      <c r="B41" s="52"/>
      <c r="C41" s="258"/>
      <c r="D41" s="258"/>
      <c r="E41" s="258"/>
      <c r="F41" s="258"/>
      <c r="G41" s="258"/>
      <c r="H41" s="29"/>
      <c r="I41" s="258"/>
      <c r="J41" s="258"/>
      <c r="K41" s="258"/>
      <c r="L41" s="258"/>
      <c r="M41" s="258"/>
      <c r="N41" s="244"/>
      <c r="O41" s="259"/>
      <c r="P41" s="259"/>
      <c r="Q41" s="259"/>
      <c r="R41" s="259"/>
      <c r="S41" s="260"/>
      <c r="U41" s="259"/>
      <c r="V41" s="259"/>
      <c r="W41" s="259"/>
      <c r="X41" s="259"/>
      <c r="Y41" s="261"/>
      <c r="AA41" s="259"/>
      <c r="AB41" s="259"/>
      <c r="AC41" s="259"/>
      <c r="AD41" s="259"/>
      <c r="AE41" s="259"/>
      <c r="AG41" s="259"/>
      <c r="AH41" s="262"/>
      <c r="AI41" s="313"/>
      <c r="AJ41" s="313"/>
      <c r="AK41" s="326"/>
      <c r="AM41" s="319"/>
      <c r="AN41" s="326"/>
      <c r="AO41" s="326"/>
    </row>
    <row r="42" spans="1:41" s="31" customFormat="1" ht="12" customHeight="1">
      <c r="A42" s="263" t="s">
        <v>252</v>
      </c>
      <c r="B42" s="264"/>
      <c r="C42" s="265"/>
      <c r="D42" s="265"/>
      <c r="E42" s="265"/>
      <c r="F42" s="19"/>
      <c r="G42" s="19"/>
      <c r="H42" s="266"/>
      <c r="I42" s="265"/>
      <c r="J42" s="265"/>
      <c r="K42" s="265"/>
      <c r="L42" s="19"/>
      <c r="M42" s="19"/>
      <c r="N42" s="266"/>
      <c r="O42" s="18"/>
      <c r="P42" s="18"/>
      <c r="Q42" s="18"/>
      <c r="R42" s="19"/>
      <c r="S42" s="267"/>
      <c r="U42" s="18"/>
      <c r="V42" s="18"/>
      <c r="W42" s="18"/>
      <c r="X42" s="18"/>
      <c r="Y42" s="268"/>
      <c r="AA42" s="18"/>
      <c r="AB42" s="18"/>
      <c r="AC42" s="18"/>
      <c r="AD42" s="18"/>
      <c r="AE42" s="18"/>
      <c r="AG42" s="18"/>
      <c r="AH42" s="105"/>
      <c r="AI42" s="302"/>
      <c r="AJ42" s="302"/>
      <c r="AK42" s="326"/>
      <c r="AM42" s="319"/>
      <c r="AN42" s="326"/>
      <c r="AO42" s="326"/>
    </row>
    <row r="43" spans="1:43" ht="11.25">
      <c r="A43" s="227" t="s">
        <v>18</v>
      </c>
      <c r="B43" s="220"/>
      <c r="C43" s="269">
        <v>206</v>
      </c>
      <c r="D43" s="270">
        <v>213</v>
      </c>
      <c r="E43" s="270">
        <v>210</v>
      </c>
      <c r="F43" s="270">
        <v>189</v>
      </c>
      <c r="G43" s="270">
        <v>818</v>
      </c>
      <c r="H43" s="220"/>
      <c r="I43" s="269">
        <v>226</v>
      </c>
      <c r="J43" s="270">
        <v>228</v>
      </c>
      <c r="K43" s="270">
        <v>234</v>
      </c>
      <c r="L43" s="270">
        <v>222</v>
      </c>
      <c r="M43" s="270">
        <v>910</v>
      </c>
      <c r="N43" s="271"/>
      <c r="O43" s="269">
        <v>243</v>
      </c>
      <c r="P43" s="270">
        <v>247</v>
      </c>
      <c r="Q43" s="270">
        <v>246</v>
      </c>
      <c r="R43" s="270">
        <v>257</v>
      </c>
      <c r="S43" s="30">
        <v>993</v>
      </c>
      <c r="U43" s="269">
        <v>269</v>
      </c>
      <c r="V43" s="270">
        <v>262</v>
      </c>
      <c r="W43" s="270">
        <v>261</v>
      </c>
      <c r="X43" s="270">
        <v>280</v>
      </c>
      <c r="Y43" s="270">
        <f>U43+V43+W43+X43</f>
        <v>1072</v>
      </c>
      <c r="Z43" s="271"/>
      <c r="AA43" s="269">
        <v>293</v>
      </c>
      <c r="AB43" s="270">
        <v>287</v>
      </c>
      <c r="AC43" s="270">
        <v>288</v>
      </c>
      <c r="AD43" s="270">
        <v>305</v>
      </c>
      <c r="AE43" s="270">
        <v>1173</v>
      </c>
      <c r="AG43" s="269">
        <v>314</v>
      </c>
      <c r="AH43" s="242">
        <v>319</v>
      </c>
      <c r="AI43" s="242">
        <v>330</v>
      </c>
      <c r="AJ43" s="242">
        <v>335</v>
      </c>
      <c r="AK43" s="242">
        <v>1298</v>
      </c>
      <c r="AL43" s="333"/>
      <c r="AM43" s="242">
        <v>325</v>
      </c>
      <c r="AN43" s="242">
        <v>322</v>
      </c>
      <c r="AO43" s="242">
        <v>309</v>
      </c>
      <c r="AP43" s="351">
        <v>408</v>
      </c>
      <c r="AQ43" s="351">
        <v>1364</v>
      </c>
    </row>
    <row r="44" spans="1:43" ht="11.25">
      <c r="A44" s="227" t="s">
        <v>19</v>
      </c>
      <c r="B44" s="220"/>
      <c r="C44" s="269">
        <v>750</v>
      </c>
      <c r="D44" s="270">
        <v>736</v>
      </c>
      <c r="E44" s="270">
        <v>752</v>
      </c>
      <c r="F44" s="270">
        <v>784</v>
      </c>
      <c r="G44" s="270">
        <v>3022</v>
      </c>
      <c r="H44" s="220"/>
      <c r="I44" s="269">
        <v>741</v>
      </c>
      <c r="J44" s="270">
        <v>711</v>
      </c>
      <c r="K44" s="270">
        <v>760</v>
      </c>
      <c r="L44" s="270">
        <v>780</v>
      </c>
      <c r="M44" s="270">
        <v>2992</v>
      </c>
      <c r="N44" s="271"/>
      <c r="O44" s="269">
        <v>698</v>
      </c>
      <c r="P44" s="270">
        <v>760</v>
      </c>
      <c r="Q44" s="270">
        <v>760</v>
      </c>
      <c r="R44" s="270">
        <v>805</v>
      </c>
      <c r="S44" s="30">
        <v>3023</v>
      </c>
      <c r="U44" s="269">
        <v>751</v>
      </c>
      <c r="V44" s="270">
        <v>813</v>
      </c>
      <c r="W44" s="270">
        <v>782</v>
      </c>
      <c r="X44" s="270">
        <v>864</v>
      </c>
      <c r="Y44" s="270">
        <f aca="true" t="shared" si="1" ref="Y44:Y59">U44+V44+W44+X44</f>
        <v>3210</v>
      </c>
      <c r="Z44" s="271"/>
      <c r="AA44" s="269">
        <v>782</v>
      </c>
      <c r="AB44" s="270">
        <v>902</v>
      </c>
      <c r="AC44" s="270">
        <v>835</v>
      </c>
      <c r="AD44" s="270">
        <v>805</v>
      </c>
      <c r="AE44" s="270">
        <v>3324</v>
      </c>
      <c r="AG44" s="269">
        <v>839</v>
      </c>
      <c r="AH44" s="242">
        <v>871</v>
      </c>
      <c r="AI44" s="242">
        <v>948</v>
      </c>
      <c r="AJ44" s="242">
        <v>936</v>
      </c>
      <c r="AK44" s="293">
        <v>3594</v>
      </c>
      <c r="AL44" s="333"/>
      <c r="AM44" s="293">
        <v>890</v>
      </c>
      <c r="AN44" s="293">
        <v>932</v>
      </c>
      <c r="AO44" s="293">
        <v>952</v>
      </c>
      <c r="AP44" s="351">
        <v>1061</v>
      </c>
      <c r="AQ44" s="351">
        <v>3835</v>
      </c>
    </row>
    <row r="45" spans="1:43" ht="11.25">
      <c r="A45" s="227" t="s">
        <v>151</v>
      </c>
      <c r="B45" s="220"/>
      <c r="C45" s="269">
        <v>1496</v>
      </c>
      <c r="D45" s="270">
        <v>1413</v>
      </c>
      <c r="E45" s="270">
        <v>1543</v>
      </c>
      <c r="F45" s="270">
        <v>1418</v>
      </c>
      <c r="G45" s="270">
        <v>5870</v>
      </c>
      <c r="H45" s="220"/>
      <c r="I45" s="269">
        <v>1320</v>
      </c>
      <c r="J45" s="270">
        <v>1488</v>
      </c>
      <c r="K45" s="270">
        <v>1240</v>
      </c>
      <c r="L45" s="270">
        <v>1433</v>
      </c>
      <c r="M45" s="270">
        <v>5481</v>
      </c>
      <c r="N45" s="271"/>
      <c r="O45" s="269">
        <v>1400</v>
      </c>
      <c r="P45" s="270">
        <v>1416</v>
      </c>
      <c r="Q45" s="270">
        <v>1179</v>
      </c>
      <c r="R45" s="270">
        <v>1487</v>
      </c>
      <c r="S45" s="30">
        <v>5482</v>
      </c>
      <c r="U45" s="269">
        <v>1371</v>
      </c>
      <c r="V45" s="270">
        <v>1417</v>
      </c>
      <c r="W45" s="270">
        <v>1596</v>
      </c>
      <c r="X45" s="270">
        <v>1447</v>
      </c>
      <c r="Y45" s="270">
        <f t="shared" si="1"/>
        <v>5831</v>
      </c>
      <c r="Z45" s="271"/>
      <c r="AA45" s="269">
        <v>1405</v>
      </c>
      <c r="AB45" s="270">
        <v>1144</v>
      </c>
      <c r="AC45" s="270">
        <v>1292</v>
      </c>
      <c r="AD45" s="270">
        <v>1471</v>
      </c>
      <c r="AE45" s="270">
        <v>5312</v>
      </c>
      <c r="AG45" s="269">
        <v>1591</v>
      </c>
      <c r="AH45" s="242">
        <v>1550</v>
      </c>
      <c r="AI45" s="242">
        <v>1515</v>
      </c>
      <c r="AJ45" s="242">
        <v>1540</v>
      </c>
      <c r="AK45" s="293">
        <v>6196</v>
      </c>
      <c r="AL45" s="333"/>
      <c r="AM45" s="293">
        <v>1524</v>
      </c>
      <c r="AN45" s="293">
        <v>1377</v>
      </c>
      <c r="AO45" s="293">
        <v>1719</v>
      </c>
      <c r="AP45" s="351">
        <v>1706</v>
      </c>
      <c r="AQ45" s="351">
        <v>6326</v>
      </c>
    </row>
    <row r="46" spans="1:43" ht="11.25">
      <c r="A46" s="34" t="s">
        <v>152</v>
      </c>
      <c r="B46" s="220"/>
      <c r="C46" s="269">
        <v>952</v>
      </c>
      <c r="D46" s="270">
        <v>874</v>
      </c>
      <c r="E46" s="270">
        <v>998</v>
      </c>
      <c r="F46" s="270">
        <v>864</v>
      </c>
      <c r="G46" s="270">
        <v>3688</v>
      </c>
      <c r="H46" s="220"/>
      <c r="I46" s="269">
        <v>799</v>
      </c>
      <c r="J46" s="270">
        <v>972</v>
      </c>
      <c r="K46" s="270">
        <v>713</v>
      </c>
      <c r="L46" s="270">
        <v>868</v>
      </c>
      <c r="M46" s="270">
        <v>3352</v>
      </c>
      <c r="N46" s="271"/>
      <c r="O46" s="269">
        <v>885</v>
      </c>
      <c r="P46" s="270">
        <v>902</v>
      </c>
      <c r="Q46" s="270">
        <v>707</v>
      </c>
      <c r="R46" s="270">
        <v>975</v>
      </c>
      <c r="S46" s="30">
        <v>3469</v>
      </c>
      <c r="U46" s="269">
        <v>853</v>
      </c>
      <c r="V46" s="270">
        <v>906</v>
      </c>
      <c r="W46" s="270">
        <v>1059</v>
      </c>
      <c r="X46" s="270">
        <v>932</v>
      </c>
      <c r="Y46" s="270">
        <f t="shared" si="1"/>
        <v>3750</v>
      </c>
      <c r="Z46" s="271"/>
      <c r="AA46" s="269">
        <v>866</v>
      </c>
      <c r="AB46" s="270">
        <v>611</v>
      </c>
      <c r="AC46" s="270">
        <v>701</v>
      </c>
      <c r="AD46" s="270">
        <v>862</v>
      </c>
      <c r="AE46" s="270">
        <v>3040</v>
      </c>
      <c r="AG46" s="269">
        <v>992</v>
      </c>
      <c r="AH46" s="242">
        <v>996</v>
      </c>
      <c r="AI46" s="242">
        <v>900</v>
      </c>
      <c r="AJ46" s="242">
        <v>890</v>
      </c>
      <c r="AK46" s="293">
        <v>3778</v>
      </c>
      <c r="AL46" s="333"/>
      <c r="AM46" s="293">
        <v>919</v>
      </c>
      <c r="AN46" s="293">
        <v>810</v>
      </c>
      <c r="AO46" s="293">
        <v>1145</v>
      </c>
      <c r="AP46" s="351">
        <v>1100</v>
      </c>
      <c r="AQ46" s="351">
        <v>3974</v>
      </c>
    </row>
    <row r="47" spans="1:43" ht="11.25">
      <c r="A47" s="34" t="s">
        <v>153</v>
      </c>
      <c r="B47" s="220"/>
      <c r="C47" s="272">
        <v>210</v>
      </c>
      <c r="D47" s="273">
        <v>187</v>
      </c>
      <c r="E47" s="273">
        <v>204</v>
      </c>
      <c r="F47" s="273">
        <v>181</v>
      </c>
      <c r="G47" s="270">
        <v>782</v>
      </c>
      <c r="H47" s="220"/>
      <c r="I47" s="269">
        <v>178</v>
      </c>
      <c r="J47" s="270">
        <v>174</v>
      </c>
      <c r="K47" s="270">
        <v>183</v>
      </c>
      <c r="L47" s="270">
        <v>200</v>
      </c>
      <c r="M47" s="270">
        <v>735</v>
      </c>
      <c r="N47" s="271"/>
      <c r="O47" s="269">
        <v>198</v>
      </c>
      <c r="P47" s="270">
        <v>189</v>
      </c>
      <c r="Q47" s="270">
        <v>172</v>
      </c>
      <c r="R47" s="270">
        <v>186</v>
      </c>
      <c r="S47" s="30">
        <v>745</v>
      </c>
      <c r="U47" s="269">
        <v>167</v>
      </c>
      <c r="V47" s="270">
        <v>190</v>
      </c>
      <c r="W47" s="270">
        <v>222</v>
      </c>
      <c r="X47" s="270">
        <v>196</v>
      </c>
      <c r="Y47" s="270">
        <f t="shared" si="1"/>
        <v>775</v>
      </c>
      <c r="Z47" s="271"/>
      <c r="AA47" s="269">
        <v>185</v>
      </c>
      <c r="AB47" s="270">
        <v>187</v>
      </c>
      <c r="AC47" s="270">
        <v>228</v>
      </c>
      <c r="AD47" s="270">
        <v>203</v>
      </c>
      <c r="AE47" s="270">
        <v>803</v>
      </c>
      <c r="AG47" s="269">
        <v>234</v>
      </c>
      <c r="AH47" s="242">
        <v>195</v>
      </c>
      <c r="AI47" s="242">
        <v>255</v>
      </c>
      <c r="AJ47" s="242">
        <v>255</v>
      </c>
      <c r="AK47" s="293">
        <v>939</v>
      </c>
      <c r="AL47" s="333"/>
      <c r="AM47" s="293">
        <v>250</v>
      </c>
      <c r="AN47" s="293">
        <v>243</v>
      </c>
      <c r="AO47" s="293">
        <v>235</v>
      </c>
      <c r="AP47" s="351">
        <v>260</v>
      </c>
      <c r="AQ47" s="351">
        <v>988</v>
      </c>
    </row>
    <row r="48" spans="1:43" ht="11.25">
      <c r="A48" s="227" t="s">
        <v>154</v>
      </c>
      <c r="B48" s="220"/>
      <c r="C48" s="269">
        <v>341</v>
      </c>
      <c r="D48" s="270">
        <v>347</v>
      </c>
      <c r="E48" s="270">
        <v>333</v>
      </c>
      <c r="F48" s="270">
        <v>357</v>
      </c>
      <c r="G48" s="270">
        <v>1378</v>
      </c>
      <c r="H48" s="220"/>
      <c r="I48" s="269">
        <v>320</v>
      </c>
      <c r="J48" s="270">
        <v>352</v>
      </c>
      <c r="K48" s="270">
        <v>345</v>
      </c>
      <c r="L48" s="270">
        <v>403</v>
      </c>
      <c r="M48" s="270">
        <v>1420</v>
      </c>
      <c r="N48" s="271"/>
      <c r="O48" s="269">
        <v>329</v>
      </c>
      <c r="P48" s="270">
        <v>349</v>
      </c>
      <c r="Q48" s="270">
        <v>324</v>
      </c>
      <c r="R48" s="270">
        <v>390</v>
      </c>
      <c r="S48" s="30">
        <v>1392</v>
      </c>
      <c r="U48" s="269">
        <v>353</v>
      </c>
      <c r="V48" s="270">
        <v>360</v>
      </c>
      <c r="W48" s="270">
        <v>362</v>
      </c>
      <c r="X48" s="270">
        <v>456</v>
      </c>
      <c r="Y48" s="270">
        <f t="shared" si="1"/>
        <v>1531</v>
      </c>
      <c r="Z48" s="271"/>
      <c r="AA48" s="269">
        <v>369</v>
      </c>
      <c r="AB48" s="270">
        <v>419</v>
      </c>
      <c r="AC48" s="270">
        <v>406</v>
      </c>
      <c r="AD48" s="270">
        <v>455</v>
      </c>
      <c r="AE48" s="270">
        <v>1649</v>
      </c>
      <c r="AG48" s="269">
        <v>389</v>
      </c>
      <c r="AH48" s="242">
        <v>434</v>
      </c>
      <c r="AI48" s="242">
        <v>458</v>
      </c>
      <c r="AJ48" s="242">
        <v>486</v>
      </c>
      <c r="AK48" s="293">
        <v>1767</v>
      </c>
      <c r="AL48" s="333"/>
      <c r="AM48" s="293">
        <v>430</v>
      </c>
      <c r="AN48" s="293">
        <v>413</v>
      </c>
      <c r="AO48" s="293">
        <v>416</v>
      </c>
      <c r="AP48" s="351">
        <v>457</v>
      </c>
      <c r="AQ48" s="351">
        <v>1716</v>
      </c>
    </row>
    <row r="49" spans="1:43" ht="11.25">
      <c r="A49" s="34" t="s">
        <v>155</v>
      </c>
      <c r="B49" s="220"/>
      <c r="C49" s="272">
        <v>57</v>
      </c>
      <c r="D49" s="273">
        <v>57</v>
      </c>
      <c r="E49" s="273">
        <v>52</v>
      </c>
      <c r="F49" s="273">
        <v>68</v>
      </c>
      <c r="G49" s="47">
        <v>234</v>
      </c>
      <c r="H49" s="220"/>
      <c r="I49" s="272">
        <v>58</v>
      </c>
      <c r="J49" s="273">
        <v>54</v>
      </c>
      <c r="K49" s="273">
        <v>54</v>
      </c>
      <c r="L49" s="47">
        <v>67</v>
      </c>
      <c r="M49" s="47">
        <v>233</v>
      </c>
      <c r="N49" s="274"/>
      <c r="O49" s="158">
        <v>51</v>
      </c>
      <c r="P49" s="47">
        <v>52</v>
      </c>
      <c r="Q49" s="47">
        <v>57</v>
      </c>
      <c r="R49" s="47">
        <v>68</v>
      </c>
      <c r="S49" s="30">
        <v>228</v>
      </c>
      <c r="U49" s="158">
        <v>52</v>
      </c>
      <c r="V49" s="47">
        <v>56</v>
      </c>
      <c r="W49" s="47">
        <v>53</v>
      </c>
      <c r="X49" s="47">
        <v>54</v>
      </c>
      <c r="Y49" s="47">
        <f t="shared" si="1"/>
        <v>215</v>
      </c>
      <c r="Z49" s="274"/>
      <c r="AA49" s="269">
        <v>50</v>
      </c>
      <c r="AB49" s="270">
        <v>53</v>
      </c>
      <c r="AC49" s="270">
        <v>55</v>
      </c>
      <c r="AD49" s="270">
        <v>58</v>
      </c>
      <c r="AE49" s="270">
        <v>216</v>
      </c>
      <c r="AG49" s="269">
        <v>59</v>
      </c>
      <c r="AH49" s="242">
        <v>62</v>
      </c>
      <c r="AI49" s="242">
        <v>59</v>
      </c>
      <c r="AJ49" s="242">
        <v>59</v>
      </c>
      <c r="AK49" s="293">
        <v>239</v>
      </c>
      <c r="AL49" s="333"/>
      <c r="AM49" s="293">
        <v>57</v>
      </c>
      <c r="AN49" s="293">
        <v>58</v>
      </c>
      <c r="AO49" s="293">
        <v>53</v>
      </c>
      <c r="AP49" s="351">
        <v>59</v>
      </c>
      <c r="AQ49" s="351">
        <v>227</v>
      </c>
    </row>
    <row r="50" spans="1:43" ht="11.25">
      <c r="A50" s="34" t="s">
        <v>156</v>
      </c>
      <c r="B50" s="220"/>
      <c r="C50" s="272">
        <v>88</v>
      </c>
      <c r="D50" s="273">
        <v>93</v>
      </c>
      <c r="E50" s="273">
        <v>95</v>
      </c>
      <c r="F50" s="273">
        <v>122</v>
      </c>
      <c r="G50" s="47">
        <v>398</v>
      </c>
      <c r="H50" s="220"/>
      <c r="I50" s="272">
        <v>88</v>
      </c>
      <c r="J50" s="273">
        <v>95</v>
      </c>
      <c r="K50" s="273">
        <v>100</v>
      </c>
      <c r="L50" s="47">
        <v>126</v>
      </c>
      <c r="M50" s="47">
        <v>409</v>
      </c>
      <c r="N50" s="274"/>
      <c r="O50" s="158">
        <v>81</v>
      </c>
      <c r="P50" s="47">
        <v>92</v>
      </c>
      <c r="Q50" s="47">
        <v>98</v>
      </c>
      <c r="R50" s="47">
        <v>121</v>
      </c>
      <c r="S50" s="30">
        <v>392</v>
      </c>
      <c r="U50" s="158">
        <v>98</v>
      </c>
      <c r="V50" s="47">
        <v>102</v>
      </c>
      <c r="W50" s="47">
        <v>106</v>
      </c>
      <c r="X50" s="47">
        <v>140</v>
      </c>
      <c r="Y50" s="47">
        <f t="shared" si="1"/>
        <v>446</v>
      </c>
      <c r="Z50" s="274"/>
      <c r="AA50" s="269">
        <v>108</v>
      </c>
      <c r="AB50" s="270">
        <v>131</v>
      </c>
      <c r="AC50" s="270">
        <v>122</v>
      </c>
      <c r="AD50" s="270">
        <v>150</v>
      </c>
      <c r="AE50" s="270">
        <v>511</v>
      </c>
      <c r="AG50" s="269">
        <v>109</v>
      </c>
      <c r="AH50" s="242">
        <v>130</v>
      </c>
      <c r="AI50" s="242">
        <v>132</v>
      </c>
      <c r="AJ50" s="242">
        <v>167</v>
      </c>
      <c r="AK50" s="293">
        <v>538</v>
      </c>
      <c r="AL50" s="333"/>
      <c r="AM50" s="293">
        <v>123</v>
      </c>
      <c r="AN50" s="293">
        <v>122</v>
      </c>
      <c r="AO50" s="293">
        <v>142</v>
      </c>
      <c r="AP50" s="351">
        <v>143</v>
      </c>
      <c r="AQ50" s="351">
        <v>530</v>
      </c>
    </row>
    <row r="51" spans="1:43" ht="11.25">
      <c r="A51" s="34" t="s">
        <v>157</v>
      </c>
      <c r="B51" s="220"/>
      <c r="C51" s="272">
        <v>98</v>
      </c>
      <c r="D51" s="273">
        <v>97</v>
      </c>
      <c r="E51" s="273">
        <v>92</v>
      </c>
      <c r="F51" s="273">
        <v>73</v>
      </c>
      <c r="G51" s="47">
        <v>360</v>
      </c>
      <c r="H51" s="220"/>
      <c r="I51" s="272">
        <v>86</v>
      </c>
      <c r="J51" s="273">
        <v>98</v>
      </c>
      <c r="K51" s="273">
        <v>97</v>
      </c>
      <c r="L51" s="47">
        <v>107</v>
      </c>
      <c r="M51" s="47">
        <v>388</v>
      </c>
      <c r="N51" s="274"/>
      <c r="O51" s="158">
        <v>105</v>
      </c>
      <c r="P51" s="47">
        <v>102</v>
      </c>
      <c r="Q51" s="47">
        <v>77</v>
      </c>
      <c r="R51" s="47">
        <v>83</v>
      </c>
      <c r="S51" s="30">
        <v>367</v>
      </c>
      <c r="U51" s="158">
        <v>104</v>
      </c>
      <c r="V51" s="47">
        <v>103</v>
      </c>
      <c r="W51" s="47">
        <v>114</v>
      </c>
      <c r="X51" s="47">
        <v>116</v>
      </c>
      <c r="Y51" s="47">
        <f t="shared" si="1"/>
        <v>437</v>
      </c>
      <c r="Z51" s="274"/>
      <c r="AA51" s="269">
        <v>117</v>
      </c>
      <c r="AB51" s="270">
        <v>125</v>
      </c>
      <c r="AC51" s="270">
        <v>120</v>
      </c>
      <c r="AD51" s="270">
        <v>115</v>
      </c>
      <c r="AE51" s="270">
        <v>477</v>
      </c>
      <c r="AG51" s="269">
        <v>122</v>
      </c>
      <c r="AH51" s="242">
        <v>125</v>
      </c>
      <c r="AI51" s="242">
        <v>149</v>
      </c>
      <c r="AJ51" s="242">
        <v>138</v>
      </c>
      <c r="AK51" s="293">
        <v>534</v>
      </c>
      <c r="AL51" s="333"/>
      <c r="AM51" s="293">
        <v>140</v>
      </c>
      <c r="AN51" s="293">
        <v>114</v>
      </c>
      <c r="AO51" s="293">
        <v>107</v>
      </c>
      <c r="AP51" s="351">
        <v>126</v>
      </c>
      <c r="AQ51" s="351">
        <v>487</v>
      </c>
    </row>
    <row r="52" spans="1:43" ht="11.25">
      <c r="A52" s="227" t="s">
        <v>45</v>
      </c>
      <c r="B52" s="220"/>
      <c r="C52" s="269">
        <v>395</v>
      </c>
      <c r="D52" s="270">
        <v>353</v>
      </c>
      <c r="E52" s="270">
        <v>383</v>
      </c>
      <c r="F52" s="270">
        <v>389</v>
      </c>
      <c r="G52" s="270">
        <v>1520</v>
      </c>
      <c r="H52" s="220"/>
      <c r="I52" s="269">
        <v>393</v>
      </c>
      <c r="J52" s="270">
        <v>417</v>
      </c>
      <c r="K52" s="270">
        <v>325</v>
      </c>
      <c r="L52" s="270">
        <v>304</v>
      </c>
      <c r="M52" s="270">
        <v>1439</v>
      </c>
      <c r="N52" s="271"/>
      <c r="O52" s="269">
        <v>293</v>
      </c>
      <c r="P52" s="270">
        <v>313</v>
      </c>
      <c r="Q52" s="270">
        <v>336</v>
      </c>
      <c r="R52" s="270">
        <v>396</v>
      </c>
      <c r="S52" s="30">
        <v>1338</v>
      </c>
      <c r="U52" s="269">
        <v>466</v>
      </c>
      <c r="V52" s="270">
        <v>405</v>
      </c>
      <c r="W52" s="270">
        <v>438</v>
      </c>
      <c r="X52" s="270">
        <v>456</v>
      </c>
      <c r="Y52" s="270">
        <f t="shared" si="1"/>
        <v>1765</v>
      </c>
      <c r="Z52" s="271"/>
      <c r="AA52" s="269">
        <v>434</v>
      </c>
      <c r="AB52" s="270">
        <v>466</v>
      </c>
      <c r="AC52" s="270">
        <v>397</v>
      </c>
      <c r="AD52" s="270">
        <v>374</v>
      </c>
      <c r="AE52" s="270">
        <v>1671</v>
      </c>
      <c r="AG52" s="269">
        <v>420</v>
      </c>
      <c r="AH52" s="242">
        <v>446</v>
      </c>
      <c r="AI52" s="242">
        <v>326</v>
      </c>
      <c r="AJ52" s="242">
        <v>328</v>
      </c>
      <c r="AK52" s="293">
        <v>1520</v>
      </c>
      <c r="AL52" s="333"/>
      <c r="AM52" s="293">
        <v>344</v>
      </c>
      <c r="AN52" s="293">
        <v>334</v>
      </c>
      <c r="AO52" s="293">
        <v>442</v>
      </c>
      <c r="AP52" s="351">
        <v>505</v>
      </c>
      <c r="AQ52" s="351">
        <v>1625</v>
      </c>
    </row>
    <row r="53" spans="1:43" ht="11.25">
      <c r="A53" s="227" t="s">
        <v>22</v>
      </c>
      <c r="B53" s="220"/>
      <c r="C53" s="269">
        <v>98</v>
      </c>
      <c r="D53" s="270">
        <v>89</v>
      </c>
      <c r="E53" s="270">
        <v>93</v>
      </c>
      <c r="F53" s="270">
        <v>96</v>
      </c>
      <c r="G53" s="270">
        <v>376</v>
      </c>
      <c r="H53" s="220"/>
      <c r="I53" s="269">
        <v>100</v>
      </c>
      <c r="J53" s="270">
        <v>90</v>
      </c>
      <c r="K53" s="270">
        <v>97</v>
      </c>
      <c r="L53" s="270">
        <v>98</v>
      </c>
      <c r="M53" s="270">
        <v>385</v>
      </c>
      <c r="N53" s="271"/>
      <c r="O53" s="269">
        <v>97</v>
      </c>
      <c r="P53" s="270">
        <v>108</v>
      </c>
      <c r="Q53" s="270">
        <v>92</v>
      </c>
      <c r="R53" s="270">
        <v>90</v>
      </c>
      <c r="S53" s="30">
        <v>387</v>
      </c>
      <c r="U53" s="269">
        <v>107</v>
      </c>
      <c r="V53" s="270">
        <v>101</v>
      </c>
      <c r="W53" s="270">
        <v>102</v>
      </c>
      <c r="X53" s="270">
        <v>79</v>
      </c>
      <c r="Y53" s="270">
        <f t="shared" si="1"/>
        <v>389</v>
      </c>
      <c r="Z53" s="271"/>
      <c r="AA53" s="269">
        <v>109</v>
      </c>
      <c r="AB53" s="270">
        <v>109</v>
      </c>
      <c r="AC53" s="270">
        <v>97</v>
      </c>
      <c r="AD53" s="270">
        <v>97</v>
      </c>
      <c r="AE53" s="270">
        <v>412</v>
      </c>
      <c r="AG53" s="269">
        <v>103</v>
      </c>
      <c r="AH53" s="242">
        <v>97</v>
      </c>
      <c r="AI53" s="242">
        <v>101</v>
      </c>
      <c r="AJ53" s="242">
        <v>96</v>
      </c>
      <c r="AK53" s="293">
        <v>397</v>
      </c>
      <c r="AL53" s="333"/>
      <c r="AM53" s="293">
        <v>107</v>
      </c>
      <c r="AN53" s="293">
        <v>99</v>
      </c>
      <c r="AO53" s="293">
        <v>83</v>
      </c>
      <c r="AP53" s="351">
        <v>108</v>
      </c>
      <c r="AQ53" s="351">
        <v>397</v>
      </c>
    </row>
    <row r="54" spans="1:43" ht="11.25">
      <c r="A54" s="227" t="s">
        <v>23</v>
      </c>
      <c r="B54" s="220"/>
      <c r="C54" s="269">
        <v>14</v>
      </c>
      <c r="D54" s="270">
        <v>35</v>
      </c>
      <c r="E54" s="270">
        <v>14</v>
      </c>
      <c r="F54" s="270">
        <v>46</v>
      </c>
      <c r="G54" s="270">
        <v>109</v>
      </c>
      <c r="H54" s="220"/>
      <c r="I54" s="269">
        <v>18</v>
      </c>
      <c r="J54" s="270">
        <v>71</v>
      </c>
      <c r="K54" s="270">
        <v>16</v>
      </c>
      <c r="L54" s="270">
        <v>50</v>
      </c>
      <c r="M54" s="270">
        <v>155</v>
      </c>
      <c r="N54" s="271"/>
      <c r="O54" s="269">
        <v>19</v>
      </c>
      <c r="P54" s="270">
        <v>26</v>
      </c>
      <c r="Q54" s="270">
        <v>62</v>
      </c>
      <c r="R54" s="270">
        <v>54</v>
      </c>
      <c r="S54" s="30">
        <f>105+19+37</f>
        <v>161</v>
      </c>
      <c r="U54" s="269">
        <v>20</v>
      </c>
      <c r="V54" s="270">
        <v>40</v>
      </c>
      <c r="W54" s="270">
        <v>29</v>
      </c>
      <c r="X54" s="270">
        <v>37</v>
      </c>
      <c r="Y54" s="270">
        <f t="shared" si="1"/>
        <v>126</v>
      </c>
      <c r="Z54" s="271"/>
      <c r="AA54" s="269">
        <v>29</v>
      </c>
      <c r="AB54" s="270">
        <v>15</v>
      </c>
      <c r="AC54" s="270">
        <v>22</v>
      </c>
      <c r="AD54" s="270">
        <v>26</v>
      </c>
      <c r="AE54" s="270">
        <v>92</v>
      </c>
      <c r="AG54" s="269">
        <v>21</v>
      </c>
      <c r="AH54" s="242">
        <v>39</v>
      </c>
      <c r="AI54" s="242">
        <v>14</v>
      </c>
      <c r="AJ54" s="242">
        <v>50</v>
      </c>
      <c r="AK54" s="293">
        <v>124</v>
      </c>
      <c r="AL54" s="333"/>
      <c r="AM54" s="293">
        <v>16</v>
      </c>
      <c r="AN54" s="293">
        <v>36</v>
      </c>
      <c r="AO54" s="293">
        <v>20</v>
      </c>
      <c r="AP54" s="351">
        <v>51</v>
      </c>
      <c r="AQ54" s="351">
        <f>53+31+39</f>
        <v>123</v>
      </c>
    </row>
    <row r="55" spans="1:43" ht="11.25">
      <c r="A55" s="275" t="s">
        <v>24</v>
      </c>
      <c r="B55" s="264"/>
      <c r="C55" s="276">
        <f>C43+C44+C45+C48+C52+C53+C54</f>
        <v>3300</v>
      </c>
      <c r="D55" s="277">
        <f>D43+D44+D45+D48+D52+D53+D54</f>
        <v>3186</v>
      </c>
      <c r="E55" s="277">
        <f>E43+E44+E45+E48+E52+E53+E54</f>
        <v>3328</v>
      </c>
      <c r="F55" s="277">
        <f>F43+F44+F45+F48+F52+F53+F54</f>
        <v>3279</v>
      </c>
      <c r="G55" s="277">
        <f>G43+G44+G45+G48+G52+G53+G54</f>
        <v>13093</v>
      </c>
      <c r="H55" s="264"/>
      <c r="I55" s="276">
        <f>I43+I44+I45+I48+I52+I53+I54</f>
        <v>3118</v>
      </c>
      <c r="J55" s="277">
        <f>J43+J44+J45+J48+J52+J53+J54</f>
        <v>3357</v>
      </c>
      <c r="K55" s="277">
        <f>K43+K44+K45+K48+K52+K53+K54</f>
        <v>3017</v>
      </c>
      <c r="L55" s="277">
        <f>L43+L44+L45+L48+L52+L53+L54</f>
        <v>3290</v>
      </c>
      <c r="M55" s="277">
        <f>M43+M44+M45+M48+M52+M53+M54</f>
        <v>12782</v>
      </c>
      <c r="N55" s="278"/>
      <c r="O55" s="276">
        <f>O43+O44+O45+O48+O52+O53+O54</f>
        <v>3079</v>
      </c>
      <c r="P55" s="277">
        <f>P43+P44+P45+P48+P52+P53+P54</f>
        <v>3219</v>
      </c>
      <c r="Q55" s="277">
        <f>Q43+Q44+Q45+Q48+Q52+Q53+Q54</f>
        <v>2999</v>
      </c>
      <c r="R55" s="277">
        <f>R43+R44+R45+R48+R52+R53+R54</f>
        <v>3479</v>
      </c>
      <c r="S55" s="25">
        <f>S43+S44+S45+S48+S52+S53+S54</f>
        <v>12776</v>
      </c>
      <c r="U55" s="276">
        <f>U43+U44+U45+U48+U52+U53+U54</f>
        <v>3337</v>
      </c>
      <c r="V55" s="277">
        <f>V43+V44+V45+V48+V52+V53+V54</f>
        <v>3398</v>
      </c>
      <c r="W55" s="277">
        <f>W43+W44+W45+W48+W52+W53+W54</f>
        <v>3570</v>
      </c>
      <c r="X55" s="277">
        <f>X43+X44+X45+X48+X52+X53+X54</f>
        <v>3619</v>
      </c>
      <c r="Y55" s="277">
        <f t="shared" si="1"/>
        <v>13924</v>
      </c>
      <c r="Z55" s="278"/>
      <c r="AA55" s="269">
        <f>AA43+AA44+AA45+AA48+AA52+AA53+AA54</f>
        <v>3421</v>
      </c>
      <c r="AB55" s="270">
        <f>AB43+AB44+AB45+AB48+AB52+AB53+AB54</f>
        <v>3342</v>
      </c>
      <c r="AC55" s="277">
        <f>AC43+AC44+AC45+AC48+AC52+AC53+AC54</f>
        <v>3337</v>
      </c>
      <c r="AD55" s="277">
        <f>AD43+AD44+AD45+AD48+AD52+AD53+AD54</f>
        <v>3533</v>
      </c>
      <c r="AE55" s="277">
        <f>AE43+AE44+AE45+AE48+AE52+AE53+AE54</f>
        <v>13633</v>
      </c>
      <c r="AG55" s="276">
        <f>AG43+AG44+AG45+AG48+AG52+AG53+AG54</f>
        <v>3677</v>
      </c>
      <c r="AH55" s="289">
        <f>AH43+AH44+AH45+AH48+AH52+AH53+AH54</f>
        <v>3756</v>
      </c>
      <c r="AI55" s="289">
        <f>+AI43+AI44+AI45+AI48+AI52+AI53+AI54</f>
        <v>3692</v>
      </c>
      <c r="AJ55" s="289">
        <f>+AJ43+AJ44+AJ45+AJ48+AJ52+AJ53+AJ54</f>
        <v>3771</v>
      </c>
      <c r="AK55" s="327">
        <v>14896</v>
      </c>
      <c r="AL55" s="333"/>
      <c r="AM55" s="327">
        <v>3636</v>
      </c>
      <c r="AN55" s="327">
        <v>3513</v>
      </c>
      <c r="AO55" s="327">
        <f>+AO43+AO44+AO45+AO48+AO52+AO53+AO54</f>
        <v>3941</v>
      </c>
      <c r="AP55" s="350">
        <f>AP43+AP44+AP45+AP48+AP52+AP53+AP54</f>
        <v>4296</v>
      </c>
      <c r="AQ55" s="350">
        <f>AQ43+AQ44+AQ45+AQ48+AQ52+AQ53+AQ54</f>
        <v>15386</v>
      </c>
    </row>
    <row r="56" spans="1:43" ht="11.25">
      <c r="A56" s="227" t="s">
        <v>25</v>
      </c>
      <c r="B56" s="220"/>
      <c r="C56" s="269">
        <v>30</v>
      </c>
      <c r="D56" s="279">
        <v>49</v>
      </c>
      <c r="E56" s="270">
        <v>28</v>
      </c>
      <c r="F56" s="270">
        <v>29</v>
      </c>
      <c r="G56" s="270">
        <v>136</v>
      </c>
      <c r="H56" s="220"/>
      <c r="I56" s="269">
        <v>33</v>
      </c>
      <c r="J56" s="270">
        <v>30</v>
      </c>
      <c r="K56" s="270">
        <v>40</v>
      </c>
      <c r="L56" s="270">
        <v>44</v>
      </c>
      <c r="M56" s="270">
        <v>147</v>
      </c>
      <c r="N56" s="271"/>
      <c r="O56" s="269">
        <v>34</v>
      </c>
      <c r="P56" s="270">
        <v>47</v>
      </c>
      <c r="Q56" s="270">
        <v>26</v>
      </c>
      <c r="R56" s="270">
        <v>38</v>
      </c>
      <c r="S56" s="30">
        <v>145</v>
      </c>
      <c r="U56" s="269">
        <v>56</v>
      </c>
      <c r="V56" s="270">
        <v>51</v>
      </c>
      <c r="W56" s="270">
        <v>40</v>
      </c>
      <c r="X56" s="270">
        <v>35</v>
      </c>
      <c r="Y56" s="270">
        <f t="shared" si="1"/>
        <v>182</v>
      </c>
      <c r="Z56" s="271"/>
      <c r="AA56" s="269">
        <v>41</v>
      </c>
      <c r="AB56" s="270">
        <v>51</v>
      </c>
      <c r="AC56" s="270">
        <v>40</v>
      </c>
      <c r="AD56" s="270">
        <v>45</v>
      </c>
      <c r="AE56" s="270">
        <v>177</v>
      </c>
      <c r="AG56" s="269">
        <v>62</v>
      </c>
      <c r="AH56" s="242">
        <v>56</v>
      </c>
      <c r="AI56" s="242">
        <v>50</v>
      </c>
      <c r="AJ56" s="242">
        <v>32</v>
      </c>
      <c r="AK56" s="293">
        <v>200</v>
      </c>
      <c r="AL56" s="333"/>
      <c r="AM56" s="293">
        <v>52</v>
      </c>
      <c r="AN56" s="293">
        <v>162</v>
      </c>
      <c r="AO56" s="293">
        <v>52</v>
      </c>
      <c r="AP56" s="351">
        <v>93</v>
      </c>
      <c r="AQ56" s="351">
        <v>359</v>
      </c>
    </row>
    <row r="57" spans="1:43" ht="11.25">
      <c r="A57" s="227" t="s">
        <v>26</v>
      </c>
      <c r="B57" s="220"/>
      <c r="C57" s="269">
        <v>-269</v>
      </c>
      <c r="D57" s="279">
        <v>-95</v>
      </c>
      <c r="E57" s="270">
        <v>-106</v>
      </c>
      <c r="F57" s="270">
        <v>504</v>
      </c>
      <c r="G57" s="270">
        <v>34</v>
      </c>
      <c r="H57" s="220"/>
      <c r="I57" s="269">
        <v>-229</v>
      </c>
      <c r="J57" s="270">
        <v>-99</v>
      </c>
      <c r="K57" s="270">
        <v>-9</v>
      </c>
      <c r="L57" s="270">
        <v>181</v>
      </c>
      <c r="M57" s="270">
        <v>-156</v>
      </c>
      <c r="N57" s="271"/>
      <c r="O57" s="269">
        <v>-561</v>
      </c>
      <c r="P57" s="270">
        <v>-213</v>
      </c>
      <c r="Q57" s="270">
        <v>54</v>
      </c>
      <c r="R57" s="270">
        <v>434</v>
      </c>
      <c r="S57" s="30">
        <v>-286</v>
      </c>
      <c r="U57" s="269">
        <v>-534</v>
      </c>
      <c r="V57" s="270">
        <v>-282</v>
      </c>
      <c r="W57" s="270">
        <v>-568</v>
      </c>
      <c r="X57" s="270">
        <v>287</v>
      </c>
      <c r="Y57" s="270">
        <f t="shared" si="1"/>
        <v>-1097</v>
      </c>
      <c r="Z57" s="271"/>
      <c r="AA57" s="269">
        <v>-744</v>
      </c>
      <c r="AB57" s="270">
        <v>-28</v>
      </c>
      <c r="AC57" s="270">
        <v>170</v>
      </c>
      <c r="AD57" s="270">
        <v>366</v>
      </c>
      <c r="AE57" s="270">
        <v>-236</v>
      </c>
      <c r="AG57" s="269">
        <v>-117</v>
      </c>
      <c r="AH57" s="242">
        <v>135</v>
      </c>
      <c r="AI57" s="242">
        <v>-124</v>
      </c>
      <c r="AJ57" s="242">
        <v>475</v>
      </c>
      <c r="AK57" s="293">
        <v>369</v>
      </c>
      <c r="AL57" s="333"/>
      <c r="AM57" s="242">
        <v>-34</v>
      </c>
      <c r="AN57" s="242">
        <v>315</v>
      </c>
      <c r="AO57" s="242">
        <v>-311</v>
      </c>
      <c r="AP57" s="81">
        <v>606</v>
      </c>
      <c r="AQ57" s="81">
        <v>576</v>
      </c>
    </row>
    <row r="58" spans="1:43" ht="11.25">
      <c r="A58" s="227" t="s">
        <v>158</v>
      </c>
      <c r="B58" s="220"/>
      <c r="C58" s="269">
        <v>-37</v>
      </c>
      <c r="D58" s="279">
        <v>-37</v>
      </c>
      <c r="E58" s="270">
        <v>-36</v>
      </c>
      <c r="F58" s="270">
        <v>-33</v>
      </c>
      <c r="G58" s="270">
        <v>-143</v>
      </c>
      <c r="H58" s="220"/>
      <c r="I58" s="269">
        <v>-24</v>
      </c>
      <c r="J58" s="270">
        <v>-29</v>
      </c>
      <c r="K58" s="270">
        <v>-29</v>
      </c>
      <c r="L58" s="270">
        <v>-36</v>
      </c>
      <c r="M58" s="270">
        <v>-118</v>
      </c>
      <c r="N58" s="271"/>
      <c r="O58" s="269">
        <v>-32</v>
      </c>
      <c r="P58" s="270">
        <v>-45</v>
      </c>
      <c r="Q58" s="270">
        <v>-17</v>
      </c>
      <c r="R58" s="270">
        <v>-24</v>
      </c>
      <c r="S58" s="30">
        <v>-118</v>
      </c>
      <c r="U58" s="269">
        <v>-28</v>
      </c>
      <c r="V58" s="270">
        <v>-32</v>
      </c>
      <c r="W58" s="270">
        <v>-22</v>
      </c>
      <c r="X58" s="270">
        <v>-28</v>
      </c>
      <c r="Y58" s="270">
        <f t="shared" si="1"/>
        <v>-110</v>
      </c>
      <c r="Z58" s="271"/>
      <c r="AA58" s="269">
        <v>-32</v>
      </c>
      <c r="AB58" s="270">
        <v>-28</v>
      </c>
      <c r="AC58" s="270">
        <v>-21</v>
      </c>
      <c r="AD58" s="270">
        <v>-33</v>
      </c>
      <c r="AE58" s="270">
        <v>-114</v>
      </c>
      <c r="AG58" s="269">
        <v>-31</v>
      </c>
      <c r="AH58" s="242">
        <v>-40</v>
      </c>
      <c r="AI58" s="242">
        <v>-41</v>
      </c>
      <c r="AJ58" s="242">
        <v>-62</v>
      </c>
      <c r="AK58" s="242">
        <v>-174</v>
      </c>
      <c r="AL58" s="333"/>
      <c r="AM58" s="242">
        <v>-45</v>
      </c>
      <c r="AN58" s="242">
        <v>-38</v>
      </c>
      <c r="AO58" s="242">
        <v>-39</v>
      </c>
      <c r="AP58" s="81">
        <v>-38</v>
      </c>
      <c r="AQ58" s="81">
        <v>-160</v>
      </c>
    </row>
    <row r="59" spans="1:43" ht="36.75" customHeight="1">
      <c r="A59" s="275" t="s">
        <v>159</v>
      </c>
      <c r="B59" s="264"/>
      <c r="C59" s="276">
        <f>SUM(C55:C58)</f>
        <v>3024</v>
      </c>
      <c r="D59" s="277">
        <f>SUM(D55:D58)</f>
        <v>3103</v>
      </c>
      <c r="E59" s="277">
        <f>SUM(E55:E58)</f>
        <v>3214</v>
      </c>
      <c r="F59" s="277">
        <f>G59-C59-D59-E59</f>
        <v>3779</v>
      </c>
      <c r="G59" s="277">
        <f>SUM(G55:G58)</f>
        <v>13120</v>
      </c>
      <c r="H59" s="264"/>
      <c r="I59" s="276">
        <f>SUM(I55:I58)</f>
        <v>2898</v>
      </c>
      <c r="J59" s="277">
        <f>SUM(J55:J58)</f>
        <v>3259</v>
      </c>
      <c r="K59" s="277">
        <f>SUM(K55:K58)</f>
        <v>3019</v>
      </c>
      <c r="L59" s="277">
        <f>SUM(L55:L58)</f>
        <v>3479</v>
      </c>
      <c r="M59" s="277">
        <f>SUM(M55:M58)</f>
        <v>12655</v>
      </c>
      <c r="N59" s="278"/>
      <c r="O59" s="276">
        <f>SUM(O55:O58)</f>
        <v>2520</v>
      </c>
      <c r="P59" s="277">
        <f>SUM(P55:P58)</f>
        <v>3008</v>
      </c>
      <c r="Q59" s="277">
        <f>SUM(Q55:Q58)</f>
        <v>3062</v>
      </c>
      <c r="R59" s="277">
        <v>3927</v>
      </c>
      <c r="S59" s="25">
        <f>SUM(S55:S58)</f>
        <v>12517</v>
      </c>
      <c r="U59" s="276">
        <f>SUM(U55:U58)</f>
        <v>2831</v>
      </c>
      <c r="V59" s="277">
        <f>SUM(V55:V58)</f>
        <v>3135</v>
      </c>
      <c r="W59" s="277">
        <f>SUM(W55:W58)</f>
        <v>3020</v>
      </c>
      <c r="X59" s="277">
        <f>SUM(X55:X58)</f>
        <v>3913</v>
      </c>
      <c r="Y59" s="277">
        <f t="shared" si="1"/>
        <v>12899</v>
      </c>
      <c r="Z59" s="278"/>
      <c r="AA59" s="269">
        <f>SUM(AA55:AA58)</f>
        <v>2686</v>
      </c>
      <c r="AB59" s="270">
        <f>SUM(AB55:AB58)</f>
        <v>3337</v>
      </c>
      <c r="AC59" s="270">
        <f>SUM(AC55:AC58)</f>
        <v>3526</v>
      </c>
      <c r="AD59" s="270">
        <f>SUM(AD55:AD58)</f>
        <v>3911</v>
      </c>
      <c r="AE59" s="270">
        <f>SUM(AE55:AE58)</f>
        <v>13460</v>
      </c>
      <c r="AG59" s="269">
        <f>SUM(AG55:AG58)</f>
        <v>3591</v>
      </c>
      <c r="AH59" s="242">
        <f>AH55+AH56+AH57+AH58</f>
        <v>3907</v>
      </c>
      <c r="AI59" s="242">
        <f>+AI55+AI56+AI57+AI58</f>
        <v>3577</v>
      </c>
      <c r="AJ59" s="242">
        <f>+AJ55+AJ56+AJ57+AJ58</f>
        <v>4216</v>
      </c>
      <c r="AK59" s="242">
        <v>15291</v>
      </c>
      <c r="AL59" s="333"/>
      <c r="AM59" s="242">
        <v>3609</v>
      </c>
      <c r="AN59" s="242">
        <v>3952</v>
      </c>
      <c r="AO59" s="242">
        <f>+AO55+AO56+AO57+AO58</f>
        <v>3643</v>
      </c>
      <c r="AP59" s="81">
        <f>AP55+AP56+AP57+AP58</f>
        <v>4957</v>
      </c>
      <c r="AQ59" s="81">
        <f>AQ55+AQ56+AQ57+AQ58</f>
        <v>16161</v>
      </c>
    </row>
    <row r="61" ht="22.5">
      <c r="A61" s="280" t="s">
        <v>216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showGridLines="0" zoomScale="120" zoomScaleNormal="120" zoomScalePageLayoutView="0" workbookViewId="0" topLeftCell="A1">
      <pane xSplit="2" ySplit="2" topLeftCell="AI3" activePane="bottomRight" state="frozen"/>
      <selection pane="topLeft" activeCell="A1" sqref="A1:AH16384"/>
      <selection pane="topRight" activeCell="A1" sqref="A1:AH16384"/>
      <selection pane="bottomLeft" activeCell="A1" sqref="A1:AH16384"/>
      <selection pane="bottomRight" activeCell="A1" sqref="A1"/>
    </sheetView>
  </sheetViews>
  <sheetFormatPr defaultColWidth="9.28125" defaultRowHeight="12" customHeight="1"/>
  <cols>
    <col min="1" max="1" width="55.421875" style="145" customWidth="1"/>
    <col min="2" max="2" width="0.9921875" style="145" customWidth="1"/>
    <col min="3" max="3" width="10.57421875" style="184" customWidth="1"/>
    <col min="4" max="4" width="0.9921875" style="145" customWidth="1"/>
    <col min="5" max="8" width="10.57421875" style="145" customWidth="1"/>
    <col min="9" max="9" width="10.57421875" style="184" customWidth="1"/>
    <col min="10" max="10" width="0.71875" style="145" customWidth="1"/>
    <col min="11" max="14" width="10.57421875" style="145" customWidth="1"/>
    <col min="15" max="15" width="10.57421875" style="184" customWidth="1"/>
    <col min="16" max="16" width="0.71875" style="145" customWidth="1"/>
    <col min="17" max="21" width="10.57421875" style="145" customWidth="1"/>
    <col min="22" max="22" width="0.71875" style="145" customWidth="1"/>
    <col min="23" max="27" width="10.57421875" style="145" customWidth="1"/>
    <col min="28" max="28" width="1.28515625" style="145" customWidth="1"/>
    <col min="29" max="29" width="10.57421875" style="145" hidden="1" customWidth="1"/>
    <col min="30" max="33" width="10.57421875" style="281" hidden="1" customWidth="1"/>
    <col min="34" max="34" width="1.1484375" style="281" hidden="1" customWidth="1"/>
    <col min="35" max="36" width="10.57421875" style="281" customWidth="1"/>
    <col min="37" max="37" width="9.28125" style="145" customWidth="1"/>
    <col min="38" max="38" width="8.8515625" style="145" customWidth="1"/>
    <col min="39" max="39" width="8.421875" style="145" customWidth="1"/>
    <col min="40" max="16384" width="9.28125" style="145" customWidth="1"/>
  </cols>
  <sheetData>
    <row r="1" spans="1:2" ht="30">
      <c r="A1" s="373" t="s">
        <v>319</v>
      </c>
      <c r="B1" s="15"/>
    </row>
    <row r="2" spans="1:39" ht="12" customHeight="1">
      <c r="A2" s="2"/>
      <c r="B2" s="2"/>
      <c r="C2" s="11">
        <v>2014</v>
      </c>
      <c r="D2" s="11"/>
      <c r="E2" s="11" t="s">
        <v>7</v>
      </c>
      <c r="F2" s="11" t="s">
        <v>8</v>
      </c>
      <c r="G2" s="11" t="s">
        <v>9</v>
      </c>
      <c r="H2" s="11" t="s">
        <v>10</v>
      </c>
      <c r="I2" s="11" t="s">
        <v>58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59</v>
      </c>
      <c r="Q2" s="11" t="s">
        <v>55</v>
      </c>
      <c r="R2" s="11" t="s">
        <v>56</v>
      </c>
      <c r="S2" s="11" t="s">
        <v>60</v>
      </c>
      <c r="T2" s="11" t="s">
        <v>61</v>
      </c>
      <c r="U2" s="11">
        <v>2017</v>
      </c>
      <c r="W2" s="11" t="s">
        <v>186</v>
      </c>
      <c r="X2" s="11" t="s">
        <v>190</v>
      </c>
      <c r="Y2" s="11" t="s">
        <v>195</v>
      </c>
      <c r="Z2" s="11" t="s">
        <v>202</v>
      </c>
      <c r="AA2" s="11">
        <v>2018</v>
      </c>
      <c r="AC2" s="11" t="s">
        <v>250</v>
      </c>
      <c r="AD2" s="11" t="s">
        <v>251</v>
      </c>
      <c r="AE2" s="11" t="s">
        <v>276</v>
      </c>
      <c r="AF2" s="11" t="s">
        <v>278</v>
      </c>
      <c r="AG2" s="11">
        <v>2019</v>
      </c>
      <c r="AH2" s="11"/>
      <c r="AI2" s="11" t="s">
        <v>283</v>
      </c>
      <c r="AJ2" s="11" t="s">
        <v>290</v>
      </c>
      <c r="AK2" s="11" t="s">
        <v>294</v>
      </c>
      <c r="AL2" s="11" t="s">
        <v>297</v>
      </c>
      <c r="AM2" s="11">
        <v>2020</v>
      </c>
    </row>
    <row r="3" spans="1:39" s="298" customFormat="1" ht="12" customHeight="1">
      <c r="A3" s="73" t="s">
        <v>62</v>
      </c>
      <c r="B3" s="9"/>
      <c r="C3" s="30">
        <v>3362</v>
      </c>
      <c r="D3" s="139"/>
      <c r="E3" s="92">
        <v>705</v>
      </c>
      <c r="F3" s="30">
        <v>1176</v>
      </c>
      <c r="G3" s="30">
        <v>521</v>
      </c>
      <c r="H3" s="30">
        <v>-4340</v>
      </c>
      <c r="I3" s="30">
        <v>-1938</v>
      </c>
      <c r="K3" s="92">
        <v>532</v>
      </c>
      <c r="L3" s="30">
        <v>500</v>
      </c>
      <c r="M3" s="30">
        <v>800</v>
      </c>
      <c r="N3" s="30">
        <v>-5207</v>
      </c>
      <c r="O3" s="30">
        <v>-3375</v>
      </c>
      <c r="Q3" s="92">
        <v>1104</v>
      </c>
      <c r="R3" s="30">
        <v>725</v>
      </c>
      <c r="S3" s="30">
        <v>673</v>
      </c>
      <c r="T3" s="30">
        <v>-348</v>
      </c>
      <c r="U3" s="30">
        <v>2154</v>
      </c>
      <c r="W3" s="92">
        <v>727</v>
      </c>
      <c r="X3" s="30">
        <v>551</v>
      </c>
      <c r="Y3" s="30">
        <v>650</v>
      </c>
      <c r="Z3" s="30">
        <v>744</v>
      </c>
      <c r="AA3" s="30">
        <v>2672</v>
      </c>
      <c r="AC3" s="92">
        <v>931</v>
      </c>
      <c r="AD3" s="242">
        <v>781</v>
      </c>
      <c r="AE3" s="242">
        <f>2370-AC3-AD3</f>
        <v>658</v>
      </c>
      <c r="AF3" s="242">
        <v>-443</v>
      </c>
      <c r="AG3" s="242">
        <v>1927</v>
      </c>
      <c r="AH3" s="331"/>
      <c r="AI3" s="242">
        <v>608</v>
      </c>
      <c r="AJ3" s="242">
        <v>533</v>
      </c>
      <c r="AK3" s="242">
        <v>686</v>
      </c>
      <c r="AL3" s="81">
        <v>940</v>
      </c>
      <c r="AM3" s="81">
        <v>2767</v>
      </c>
    </row>
    <row r="4" spans="1:39" ht="12" customHeight="1">
      <c r="A4" s="71" t="s">
        <v>63</v>
      </c>
      <c r="B4" s="5"/>
      <c r="C4" s="30">
        <v>818</v>
      </c>
      <c r="D4" s="139"/>
      <c r="E4" s="92">
        <v>226</v>
      </c>
      <c r="F4" s="30">
        <v>203</v>
      </c>
      <c r="G4" s="30">
        <v>226</v>
      </c>
      <c r="H4" s="30">
        <v>220</v>
      </c>
      <c r="I4" s="30">
        <v>875</v>
      </c>
      <c r="K4" s="92">
        <v>214</v>
      </c>
      <c r="L4" s="30">
        <v>237</v>
      </c>
      <c r="M4" s="30">
        <v>249</v>
      </c>
      <c r="N4" s="30">
        <v>256</v>
      </c>
      <c r="O4" s="30">
        <v>956</v>
      </c>
      <c r="Q4" s="92">
        <v>239</v>
      </c>
      <c r="R4" s="30">
        <v>257</v>
      </c>
      <c r="S4" s="30">
        <v>256</v>
      </c>
      <c r="T4" s="30">
        <v>283</v>
      </c>
      <c r="U4" s="30">
        <v>1035</v>
      </c>
      <c r="W4" s="92">
        <v>251</v>
      </c>
      <c r="X4" s="30">
        <v>283</v>
      </c>
      <c r="Y4" s="30">
        <v>286</v>
      </c>
      <c r="Z4" s="30">
        <v>299</v>
      </c>
      <c r="AA4" s="30">
        <v>1119</v>
      </c>
      <c r="AC4" s="92">
        <v>274</v>
      </c>
      <c r="AD4" s="242">
        <v>312</v>
      </c>
      <c r="AE4" s="242">
        <f>893-AC4-AD4</f>
        <v>307</v>
      </c>
      <c r="AF4" s="242">
        <v>327</v>
      </c>
      <c r="AG4" s="242">
        <v>1220</v>
      </c>
      <c r="AH4" s="331"/>
      <c r="AI4" s="242">
        <v>284</v>
      </c>
      <c r="AJ4" s="242">
        <v>311</v>
      </c>
      <c r="AK4" s="242">
        <v>301</v>
      </c>
      <c r="AL4" s="81">
        <v>397</v>
      </c>
      <c r="AM4" s="81">
        <v>1293</v>
      </c>
    </row>
    <row r="5" spans="1:39" ht="12" customHeight="1">
      <c r="A5" s="71" t="s">
        <v>65</v>
      </c>
      <c r="B5" s="5"/>
      <c r="C5" s="30">
        <v>29</v>
      </c>
      <c r="D5" s="139"/>
      <c r="E5" s="92">
        <v>14</v>
      </c>
      <c r="F5" s="30">
        <v>20</v>
      </c>
      <c r="G5" s="30">
        <v>29</v>
      </c>
      <c r="H5" s="30">
        <v>22</v>
      </c>
      <c r="I5" s="30">
        <v>85</v>
      </c>
      <c r="K5" s="92">
        <v>23</v>
      </c>
      <c r="L5" s="30">
        <v>24</v>
      </c>
      <c r="M5" s="30">
        <v>38</v>
      </c>
      <c r="N5" s="30">
        <v>43</v>
      </c>
      <c r="O5" s="30">
        <v>128</v>
      </c>
      <c r="Q5" s="92">
        <v>38</v>
      </c>
      <c r="R5" s="30">
        <v>38</v>
      </c>
      <c r="S5" s="30">
        <v>36</v>
      </c>
      <c r="T5" s="30">
        <v>36</v>
      </c>
      <c r="U5" s="30">
        <v>148</v>
      </c>
      <c r="W5" s="92">
        <v>32</v>
      </c>
      <c r="X5" s="30">
        <v>41</v>
      </c>
      <c r="Y5" s="30">
        <v>40</v>
      </c>
      <c r="Z5" s="30">
        <v>37</v>
      </c>
      <c r="AA5" s="30">
        <v>150</v>
      </c>
      <c r="AC5" s="92">
        <v>43</v>
      </c>
      <c r="AD5" s="242">
        <v>50</v>
      </c>
      <c r="AE5" s="242">
        <f>97-AC5-AD5</f>
        <v>4</v>
      </c>
      <c r="AF5" s="242">
        <v>135</v>
      </c>
      <c r="AG5" s="242">
        <v>232</v>
      </c>
      <c r="AH5" s="331"/>
      <c r="AI5" s="242">
        <v>48</v>
      </c>
      <c r="AJ5" s="242">
        <v>57</v>
      </c>
      <c r="AK5" s="242">
        <v>28</v>
      </c>
      <c r="AL5" s="81">
        <v>42</v>
      </c>
      <c r="AM5" s="81">
        <v>175</v>
      </c>
    </row>
    <row r="6" spans="1:39" ht="12" customHeight="1">
      <c r="A6" s="34" t="s">
        <v>210</v>
      </c>
      <c r="B6" s="8"/>
      <c r="C6" s="30">
        <v>32</v>
      </c>
      <c r="D6" s="139"/>
      <c r="E6" s="92">
        <v>0</v>
      </c>
      <c r="F6" s="30">
        <v>0</v>
      </c>
      <c r="G6" s="30">
        <v>194</v>
      </c>
      <c r="H6" s="30">
        <v>5078</v>
      </c>
      <c r="I6" s="30">
        <v>5272</v>
      </c>
      <c r="K6" s="92">
        <v>57</v>
      </c>
      <c r="L6" s="30">
        <v>8</v>
      </c>
      <c r="M6" s="30">
        <v>5</v>
      </c>
      <c r="N6" s="30">
        <v>6127</v>
      </c>
      <c r="O6" s="30">
        <v>6197</v>
      </c>
      <c r="Q6" s="92">
        <v>0</v>
      </c>
      <c r="R6" s="30">
        <v>1</v>
      </c>
      <c r="S6" s="30">
        <v>0</v>
      </c>
      <c r="T6" s="30">
        <v>939</v>
      </c>
      <c r="U6" s="30">
        <v>940</v>
      </c>
      <c r="W6" s="92">
        <f>765-813</f>
        <v>-48</v>
      </c>
      <c r="X6" s="30">
        <v>-91</v>
      </c>
      <c r="Y6" s="30">
        <v>-19</v>
      </c>
      <c r="Z6" s="30">
        <v>-465</v>
      </c>
      <c r="AA6" s="30">
        <v>-623</v>
      </c>
      <c r="AC6" s="92">
        <v>-95</v>
      </c>
      <c r="AD6" s="242">
        <v>-7</v>
      </c>
      <c r="AE6" s="242">
        <f>29-128-AC6-AD6</f>
        <v>3</v>
      </c>
      <c r="AF6" s="242">
        <v>456</v>
      </c>
      <c r="AG6" s="242">
        <v>357</v>
      </c>
      <c r="AH6" s="331"/>
      <c r="AI6" s="242">
        <v>215</v>
      </c>
      <c r="AJ6" s="242">
        <v>0</v>
      </c>
      <c r="AK6" s="242">
        <v>-27</v>
      </c>
      <c r="AL6" s="81">
        <v>4</v>
      </c>
      <c r="AM6" s="81">
        <v>192</v>
      </c>
    </row>
    <row r="7" spans="1:39" ht="22.5">
      <c r="A7" s="300" t="s">
        <v>277</v>
      </c>
      <c r="B7" s="8"/>
      <c r="C7" s="30" t="s">
        <v>187</v>
      </c>
      <c r="D7" s="139"/>
      <c r="E7" s="92" t="s">
        <v>187</v>
      </c>
      <c r="F7" s="30" t="s">
        <v>187</v>
      </c>
      <c r="G7" s="30" t="s">
        <v>187</v>
      </c>
      <c r="H7" s="30" t="s">
        <v>187</v>
      </c>
      <c r="I7" s="30" t="s">
        <v>187</v>
      </c>
      <c r="K7" s="92" t="s">
        <v>187</v>
      </c>
      <c r="L7" s="30" t="s">
        <v>187</v>
      </c>
      <c r="M7" s="30" t="s">
        <v>187</v>
      </c>
      <c r="N7" s="30" t="s">
        <v>187</v>
      </c>
      <c r="O7" s="30" t="s">
        <v>187</v>
      </c>
      <c r="Q7" s="92" t="s">
        <v>187</v>
      </c>
      <c r="R7" s="30" t="s">
        <v>187</v>
      </c>
      <c r="S7" s="30" t="s">
        <v>187</v>
      </c>
      <c r="T7" s="30" t="s">
        <v>187</v>
      </c>
      <c r="U7" s="30" t="s">
        <v>187</v>
      </c>
      <c r="W7" s="92">
        <v>-113</v>
      </c>
      <c r="X7" s="30">
        <v>72</v>
      </c>
      <c r="Y7" s="30">
        <v>-11</v>
      </c>
      <c r="Z7" s="30">
        <v>115</v>
      </c>
      <c r="AA7" s="30">
        <v>63</v>
      </c>
      <c r="AC7" s="92">
        <v>-80</v>
      </c>
      <c r="AD7" s="242">
        <v>-61</v>
      </c>
      <c r="AE7" s="242">
        <f>-138-AC7-AD7</f>
        <v>3</v>
      </c>
      <c r="AF7" s="242">
        <v>41</v>
      </c>
      <c r="AG7" s="242">
        <v>-97</v>
      </c>
      <c r="AH7" s="331"/>
      <c r="AI7" s="242">
        <v>-329</v>
      </c>
      <c r="AJ7" s="242">
        <v>222</v>
      </c>
      <c r="AK7" s="242">
        <v>65</v>
      </c>
      <c r="AL7" s="81">
        <v>52</v>
      </c>
      <c r="AM7" s="81">
        <v>10</v>
      </c>
    </row>
    <row r="8" spans="1:39" ht="12" customHeight="1">
      <c r="A8" s="71" t="s">
        <v>205</v>
      </c>
      <c r="B8" s="5"/>
      <c r="C8" s="30">
        <v>390</v>
      </c>
      <c r="D8" s="139">
        <v>390</v>
      </c>
      <c r="E8" s="92">
        <v>219</v>
      </c>
      <c r="F8" s="30">
        <v>-449</v>
      </c>
      <c r="G8" s="30">
        <v>-43</v>
      </c>
      <c r="H8" s="30">
        <v>-157</v>
      </c>
      <c r="I8" s="30">
        <v>-430</v>
      </c>
      <c r="K8" s="92">
        <v>-440</v>
      </c>
      <c r="L8" s="30">
        <v>213</v>
      </c>
      <c r="M8" s="30">
        <v>-204</v>
      </c>
      <c r="N8" s="30">
        <v>238</v>
      </c>
      <c r="O8" s="30">
        <v>-193</v>
      </c>
      <c r="Q8" s="92">
        <v>178</v>
      </c>
      <c r="R8" s="30">
        <v>-451</v>
      </c>
      <c r="S8" s="30">
        <v>144</v>
      </c>
      <c r="T8" s="30">
        <v>-14</v>
      </c>
      <c r="U8" s="30">
        <f>30+152-67+43-2-299</f>
        <v>-143</v>
      </c>
      <c r="W8" s="92">
        <f>-315+113</f>
        <v>-202</v>
      </c>
      <c r="X8" s="30">
        <v>-90</v>
      </c>
      <c r="Y8" s="30">
        <v>-197</v>
      </c>
      <c r="Z8" s="30">
        <v>80</v>
      </c>
      <c r="AA8" s="30">
        <f>-190-219</f>
        <v>-409</v>
      </c>
      <c r="AC8" s="92">
        <v>-21</v>
      </c>
      <c r="AD8" s="242">
        <v>-445</v>
      </c>
      <c r="AE8" s="242">
        <f>-187-37+111-27-413+23-38-AC8-AD8</f>
        <v>-102</v>
      </c>
      <c r="AF8" s="242">
        <v>464</v>
      </c>
      <c r="AG8" s="242">
        <v>-104</v>
      </c>
      <c r="AH8" s="331"/>
      <c r="AI8" s="242">
        <v>30</v>
      </c>
      <c r="AJ8" s="242">
        <v>-215</v>
      </c>
      <c r="AK8" s="242">
        <v>115</v>
      </c>
      <c r="AL8" s="81">
        <v>109</v>
      </c>
      <c r="AM8" s="81">
        <v>39</v>
      </c>
    </row>
    <row r="9" spans="1:40" s="298" customFormat="1" ht="12" customHeight="1">
      <c r="A9" s="73" t="s">
        <v>66</v>
      </c>
      <c r="B9" s="9"/>
      <c r="C9" s="30">
        <v>1269</v>
      </c>
      <c r="D9" s="139"/>
      <c r="E9" s="92">
        <v>459</v>
      </c>
      <c r="F9" s="30">
        <v>-226</v>
      </c>
      <c r="G9" s="30">
        <v>406</v>
      </c>
      <c r="H9" s="30">
        <v>5163</v>
      </c>
      <c r="I9" s="30">
        <v>5802</v>
      </c>
      <c r="K9" s="92">
        <v>-146</v>
      </c>
      <c r="L9" s="30">
        <v>482</v>
      </c>
      <c r="M9" s="30">
        <v>88</v>
      </c>
      <c r="N9" s="30">
        <v>6664</v>
      </c>
      <c r="O9" s="30">
        <v>7088</v>
      </c>
      <c r="Q9" s="92">
        <f>+Q4+Q5+Q6+Q8</f>
        <v>455</v>
      </c>
      <c r="R9" s="30">
        <f>+R4+R5+R6+R8</f>
        <v>-155</v>
      </c>
      <c r="S9" s="30">
        <f>+S4+S5+S6+S8</f>
        <v>436</v>
      </c>
      <c r="T9" s="30">
        <f>+T4+T5+T6+T8</f>
        <v>1244</v>
      </c>
      <c r="U9" s="30">
        <f>U4+U5+U6+U8</f>
        <v>1980</v>
      </c>
      <c r="W9" s="92">
        <f>+W4+W5+W6+W7+W8</f>
        <v>-80</v>
      </c>
      <c r="X9" s="30">
        <f>+X4+X5+X6+X7+X8</f>
        <v>215</v>
      </c>
      <c r="Y9" s="30">
        <f>Y4+Y5+Y6+Y7+Y8</f>
        <v>99</v>
      </c>
      <c r="Z9" s="30">
        <v>66</v>
      </c>
      <c r="AA9" s="30">
        <f>AA4+AA5+AA6+AA7+AA8</f>
        <v>300</v>
      </c>
      <c r="AC9" s="92">
        <f>AC4+AC5+AC6+AC7+AC8</f>
        <v>121</v>
      </c>
      <c r="AD9" s="242">
        <v>-151</v>
      </c>
      <c r="AE9" s="242">
        <f>AE4+AE5+AE6+AE7+AE8</f>
        <v>215</v>
      </c>
      <c r="AF9" s="242">
        <v>1423</v>
      </c>
      <c r="AG9" s="242">
        <v>1608</v>
      </c>
      <c r="AH9" s="331"/>
      <c r="AI9" s="242">
        <v>248</v>
      </c>
      <c r="AJ9" s="242">
        <v>375</v>
      </c>
      <c r="AK9" s="242">
        <f>+AK4+AK5+AK6+AK7+AK8</f>
        <v>482</v>
      </c>
      <c r="AL9" s="81">
        <v>604</v>
      </c>
      <c r="AM9" s="81">
        <f>AM4+AM5+AM6+AM7+AM8</f>
        <v>1709</v>
      </c>
      <c r="AN9" s="363"/>
    </row>
    <row r="10" spans="1:39" ht="12" customHeight="1">
      <c r="A10" s="73" t="s">
        <v>67</v>
      </c>
      <c r="B10" s="9"/>
      <c r="C10" s="30">
        <v>-853</v>
      </c>
      <c r="D10" s="139"/>
      <c r="E10" s="92">
        <v>-225</v>
      </c>
      <c r="F10" s="30">
        <v>-206</v>
      </c>
      <c r="G10" s="30">
        <v>-225</v>
      </c>
      <c r="H10" s="30">
        <v>-224</v>
      </c>
      <c r="I10" s="30">
        <v>-880</v>
      </c>
      <c r="K10" s="92">
        <v>-75</v>
      </c>
      <c r="L10" s="30">
        <v>-72</v>
      </c>
      <c r="M10" s="30">
        <v>-204</v>
      </c>
      <c r="N10" s="30">
        <v>-117</v>
      </c>
      <c r="O10" s="30">
        <v>-468</v>
      </c>
      <c r="Q10" s="92">
        <v>-414</v>
      </c>
      <c r="R10" s="30">
        <v>-270</v>
      </c>
      <c r="S10" s="30">
        <v>-111</v>
      </c>
      <c r="T10" s="30">
        <v>-139</v>
      </c>
      <c r="U10" s="30">
        <v>-934</v>
      </c>
      <c r="W10" s="92">
        <v>-144</v>
      </c>
      <c r="X10" s="30">
        <v>-188</v>
      </c>
      <c r="Y10" s="30">
        <v>-189</v>
      </c>
      <c r="Z10" s="30">
        <v>-189</v>
      </c>
      <c r="AA10" s="30">
        <v>-710</v>
      </c>
      <c r="AC10" s="92">
        <v>-63</v>
      </c>
      <c r="AD10" s="242">
        <v>-258</v>
      </c>
      <c r="AE10" s="242">
        <f>-395-AC10-AD10</f>
        <v>-74</v>
      </c>
      <c r="AF10" s="242">
        <v>-70</v>
      </c>
      <c r="AG10" s="242">
        <v>-465</v>
      </c>
      <c r="AH10" s="331"/>
      <c r="AI10" s="242">
        <v>-186</v>
      </c>
      <c r="AJ10" s="242">
        <v>-186</v>
      </c>
      <c r="AK10" s="242">
        <v>-63</v>
      </c>
      <c r="AL10" s="81">
        <v>-295</v>
      </c>
      <c r="AM10" s="81">
        <v>-730</v>
      </c>
    </row>
    <row r="11" spans="1:39" ht="12" customHeight="1">
      <c r="A11" s="73" t="s">
        <v>68</v>
      </c>
      <c r="B11" s="9"/>
      <c r="C11" s="30">
        <v>222</v>
      </c>
      <c r="D11" s="139"/>
      <c r="E11" s="92">
        <v>218</v>
      </c>
      <c r="F11" s="30">
        <v>221</v>
      </c>
      <c r="G11" s="30">
        <v>-13</v>
      </c>
      <c r="H11" s="30">
        <v>-131</v>
      </c>
      <c r="I11" s="30">
        <v>295</v>
      </c>
      <c r="K11" s="92">
        <v>127</v>
      </c>
      <c r="L11" s="30">
        <v>-306</v>
      </c>
      <c r="M11" s="30">
        <v>137</v>
      </c>
      <c r="N11" s="30">
        <v>394</v>
      </c>
      <c r="O11" s="30">
        <v>352</v>
      </c>
      <c r="Q11" s="92">
        <v>-598</v>
      </c>
      <c r="R11" s="30">
        <v>-47</v>
      </c>
      <c r="S11" s="30">
        <v>-591</v>
      </c>
      <c r="T11" s="30">
        <v>116</v>
      </c>
      <c r="U11" s="30">
        <v>-1120</v>
      </c>
      <c r="W11" s="92">
        <v>-585</v>
      </c>
      <c r="X11" s="30">
        <v>-128</v>
      </c>
      <c r="Y11" s="30">
        <v>207</v>
      </c>
      <c r="Z11" s="30">
        <v>1059</v>
      </c>
      <c r="AA11" s="30">
        <v>553</v>
      </c>
      <c r="AC11" s="92">
        <v>-473</v>
      </c>
      <c r="AD11" s="242">
        <v>381</v>
      </c>
      <c r="AE11" s="242">
        <f>-320-AC11-AD11</f>
        <v>-228</v>
      </c>
      <c r="AF11" s="242">
        <v>1293</v>
      </c>
      <c r="AG11" s="242">
        <v>973</v>
      </c>
      <c r="AH11" s="331"/>
      <c r="AI11" s="242">
        <v>384</v>
      </c>
      <c r="AJ11" s="242">
        <v>149</v>
      </c>
      <c r="AK11" s="242">
        <v>-170</v>
      </c>
      <c r="AL11" s="81">
        <v>707</v>
      </c>
      <c r="AM11" s="81">
        <v>1070</v>
      </c>
    </row>
    <row r="12" spans="1:39" ht="12" customHeight="1">
      <c r="A12" s="74" t="s">
        <v>69</v>
      </c>
      <c r="B12" s="10"/>
      <c r="C12" s="25">
        <v>4000</v>
      </c>
      <c r="D12" s="138"/>
      <c r="E12" s="88">
        <v>1157</v>
      </c>
      <c r="F12" s="25">
        <v>965</v>
      </c>
      <c r="G12" s="25">
        <v>689</v>
      </c>
      <c r="H12" s="25">
        <v>468</v>
      </c>
      <c r="I12" s="25">
        <v>3279</v>
      </c>
      <c r="K12" s="88">
        <v>438</v>
      </c>
      <c r="L12" s="25">
        <v>604</v>
      </c>
      <c r="M12" s="25">
        <v>821</v>
      </c>
      <c r="N12" s="25">
        <v>1734</v>
      </c>
      <c r="O12" s="25">
        <v>3597</v>
      </c>
      <c r="Q12" s="88">
        <f>+Q3+Q9+Q10+Q11</f>
        <v>547</v>
      </c>
      <c r="R12" s="25">
        <f>+R3+R9+R10+R11</f>
        <v>253</v>
      </c>
      <c r="S12" s="25">
        <f>+S3+S9+S10+S11</f>
        <v>407</v>
      </c>
      <c r="T12" s="25">
        <f>+T3+T9+T10+T11</f>
        <v>873</v>
      </c>
      <c r="U12" s="25">
        <f>U3+U9+U10+U11</f>
        <v>2080</v>
      </c>
      <c r="W12" s="88">
        <f>+W3+W9+W10+W11</f>
        <v>-82</v>
      </c>
      <c r="X12" s="25">
        <f>+X3+X9+X10+X11</f>
        <v>450</v>
      </c>
      <c r="Y12" s="25">
        <f>+Y3+Y9+Y10+Y11</f>
        <v>767</v>
      </c>
      <c r="Z12" s="25">
        <f>+Z3+Z9+Z10+Z11</f>
        <v>1680</v>
      </c>
      <c r="AA12" s="25">
        <f>+AA3+AA9+AA10+AA11</f>
        <v>2815</v>
      </c>
      <c r="AC12" s="88">
        <f>+AC3+AC9+AC10+AC11</f>
        <v>516</v>
      </c>
      <c r="AD12" s="289">
        <f>+AD3+AD9+AD10+AD11</f>
        <v>753</v>
      </c>
      <c r="AE12" s="289">
        <f>AE3+AE9+AE10+AE11</f>
        <v>571</v>
      </c>
      <c r="AF12" s="289">
        <v>2203</v>
      </c>
      <c r="AG12" s="289">
        <v>4043</v>
      </c>
      <c r="AH12" s="332"/>
      <c r="AI12" s="289">
        <v>1054</v>
      </c>
      <c r="AJ12" s="289">
        <v>871</v>
      </c>
      <c r="AK12" s="289">
        <f>+AK3+AK9+AK10+AK11</f>
        <v>935</v>
      </c>
      <c r="AL12" s="82">
        <f>AL3+AL9+AL10+AL11</f>
        <v>1956</v>
      </c>
      <c r="AM12" s="82">
        <f>AM3+AM9+AM10+AM11</f>
        <v>4816</v>
      </c>
    </row>
    <row r="13" spans="1:39" ht="12" customHeight="1">
      <c r="A13" s="87"/>
      <c r="B13" s="4"/>
      <c r="C13" s="140"/>
      <c r="D13" s="138"/>
      <c r="E13" s="141"/>
      <c r="F13" s="140"/>
      <c r="G13" s="140"/>
      <c r="H13" s="140"/>
      <c r="I13" s="140"/>
      <c r="K13" s="141"/>
      <c r="L13" s="140"/>
      <c r="M13" s="140"/>
      <c r="N13" s="140"/>
      <c r="O13" s="140"/>
      <c r="Q13" s="141"/>
      <c r="R13" s="140"/>
      <c r="S13" s="140"/>
      <c r="T13" s="140"/>
      <c r="U13" s="40"/>
      <c r="W13" s="141"/>
      <c r="X13" s="40"/>
      <c r="Y13" s="40"/>
      <c r="Z13" s="40"/>
      <c r="AA13" s="40"/>
      <c r="AC13" s="141"/>
      <c r="AD13" s="177"/>
      <c r="AE13" s="304"/>
      <c r="AF13" s="304"/>
      <c r="AG13" s="304"/>
      <c r="AH13" s="331"/>
      <c r="AI13" s="177"/>
      <c r="AJ13" s="304"/>
      <c r="AK13" s="304"/>
      <c r="AL13" s="177"/>
      <c r="AM13" s="177"/>
    </row>
    <row r="14" spans="1:39" ht="10.5" customHeight="1">
      <c r="A14" s="75" t="s">
        <v>70</v>
      </c>
      <c r="B14" s="5"/>
      <c r="C14" s="90">
        <v>-2179</v>
      </c>
      <c r="D14" s="139"/>
      <c r="E14" s="142">
        <v>-648</v>
      </c>
      <c r="F14" s="90">
        <v>-479</v>
      </c>
      <c r="G14" s="90">
        <v>-588</v>
      </c>
      <c r="H14" s="90">
        <v>-727</v>
      </c>
      <c r="I14" s="90">
        <v>-2442</v>
      </c>
      <c r="K14" s="142">
        <v>-812</v>
      </c>
      <c r="L14" s="90">
        <v>-610</v>
      </c>
      <c r="M14" s="90">
        <v>-573</v>
      </c>
      <c r="N14" s="90">
        <v>-590</v>
      </c>
      <c r="O14" s="90">
        <v>-2585</v>
      </c>
      <c r="Q14" s="142">
        <v>-603</v>
      </c>
      <c r="R14" s="90">
        <v>-371</v>
      </c>
      <c r="S14" s="90">
        <v>-373</v>
      </c>
      <c r="T14" s="90">
        <v>-623</v>
      </c>
      <c r="U14" s="90">
        <v>-1970</v>
      </c>
      <c r="W14" s="142">
        <v>-556</v>
      </c>
      <c r="X14" s="90">
        <v>-386</v>
      </c>
      <c r="Y14" s="90">
        <v>-419</v>
      </c>
      <c r="Z14" s="90">
        <v>-523</v>
      </c>
      <c r="AA14" s="90">
        <v>-1884</v>
      </c>
      <c r="AC14" s="142">
        <v>-789</v>
      </c>
      <c r="AD14" s="296">
        <v>-465</v>
      </c>
      <c r="AE14" s="296">
        <v>-456</v>
      </c>
      <c r="AF14" s="296">
        <v>-584</v>
      </c>
      <c r="AG14" s="296">
        <v>-2294</v>
      </c>
      <c r="AH14" s="331"/>
      <c r="AI14" s="296">
        <v>-709</v>
      </c>
      <c r="AJ14" s="296">
        <v>-461</v>
      </c>
      <c r="AK14" s="296">
        <v>-627</v>
      </c>
      <c r="AL14" s="282">
        <v>-576</v>
      </c>
      <c r="AM14" s="282">
        <v>-2373</v>
      </c>
    </row>
    <row r="15" spans="1:39" ht="12" customHeight="1">
      <c r="A15" s="71" t="s">
        <v>71</v>
      </c>
      <c r="B15" s="5"/>
      <c r="C15" s="30">
        <v>-24</v>
      </c>
      <c r="D15" s="139"/>
      <c r="E15" s="92">
        <v>-11</v>
      </c>
      <c r="F15" s="30">
        <v>-8</v>
      </c>
      <c r="G15" s="30">
        <v>-9</v>
      </c>
      <c r="H15" s="30">
        <v>-11</v>
      </c>
      <c r="I15" s="30">
        <v>-39</v>
      </c>
      <c r="K15" s="92">
        <v>-8</v>
      </c>
      <c r="L15" s="30">
        <v>-1</v>
      </c>
      <c r="M15" s="30">
        <v>-3</v>
      </c>
      <c r="N15" s="30">
        <v>-7</v>
      </c>
      <c r="O15" s="30">
        <v>-19</v>
      </c>
      <c r="Q15" s="92">
        <v>-8</v>
      </c>
      <c r="R15" s="30">
        <v>-1</v>
      </c>
      <c r="S15" s="30">
        <v>-4</v>
      </c>
      <c r="T15" s="30">
        <v>-8</v>
      </c>
      <c r="U15" s="30">
        <v>-21</v>
      </c>
      <c r="W15" s="92">
        <v>-15</v>
      </c>
      <c r="X15" s="30">
        <v>-4</v>
      </c>
      <c r="Y15" s="30">
        <v>-7</v>
      </c>
      <c r="Z15" s="30">
        <v>3</v>
      </c>
      <c r="AA15" s="30">
        <v>-23</v>
      </c>
      <c r="AC15" s="92">
        <v>-56</v>
      </c>
      <c r="AD15" s="242">
        <v>-2</v>
      </c>
      <c r="AE15" s="242">
        <v>-6</v>
      </c>
      <c r="AF15" s="242">
        <v>-8</v>
      </c>
      <c r="AG15" s="242">
        <v>-72</v>
      </c>
      <c r="AH15" s="331"/>
      <c r="AI15" s="242">
        <v>-35</v>
      </c>
      <c r="AJ15" s="242">
        <v>-3</v>
      </c>
      <c r="AK15" s="242">
        <v>-6</v>
      </c>
      <c r="AL15" s="282">
        <v>-5</v>
      </c>
      <c r="AM15" s="81">
        <v>-49</v>
      </c>
    </row>
    <row r="16" spans="1:39" ht="12" customHeight="1">
      <c r="A16" s="71" t="s">
        <v>160</v>
      </c>
      <c r="B16" s="5"/>
      <c r="C16" s="30">
        <v>-1597</v>
      </c>
      <c r="D16" s="139"/>
      <c r="E16" s="92">
        <v>-1155</v>
      </c>
      <c r="F16" s="30">
        <v>-2298</v>
      </c>
      <c r="G16" s="30">
        <v>-332</v>
      </c>
      <c r="H16" s="30">
        <v>-460</v>
      </c>
      <c r="I16" s="30">
        <v>-4245</v>
      </c>
      <c r="K16" s="92">
        <v>-198</v>
      </c>
      <c r="L16" s="30">
        <v>-127</v>
      </c>
      <c r="M16" s="30">
        <v>-132</v>
      </c>
      <c r="N16" s="30">
        <v>-377</v>
      </c>
      <c r="O16" s="30">
        <v>-834</v>
      </c>
      <c r="Q16" s="92">
        <v>0</v>
      </c>
      <c r="R16" s="30">
        <v>-219</v>
      </c>
      <c r="S16" s="30">
        <v>0</v>
      </c>
      <c r="T16" s="30">
        <v>-271</v>
      </c>
      <c r="U16" s="30">
        <v>-490</v>
      </c>
      <c r="W16" s="92">
        <v>-5</v>
      </c>
      <c r="X16" s="30">
        <v>-264</v>
      </c>
      <c r="Y16" s="30">
        <v>0</v>
      </c>
      <c r="Z16" s="30">
        <v>-413</v>
      </c>
      <c r="AA16" s="30">
        <v>-682</v>
      </c>
      <c r="AC16" s="92">
        <v>0</v>
      </c>
      <c r="AD16" s="242">
        <v>-63</v>
      </c>
      <c r="AE16" s="242">
        <v>-109</v>
      </c>
      <c r="AF16" s="242">
        <v>-273</v>
      </c>
      <c r="AG16" s="242">
        <v>-445</v>
      </c>
      <c r="AH16" s="331"/>
      <c r="AI16" s="242">
        <v>0</v>
      </c>
      <c r="AJ16" s="242">
        <v>-270</v>
      </c>
      <c r="AK16" s="242">
        <v>-15</v>
      </c>
      <c r="AL16" s="282">
        <v>-3</v>
      </c>
      <c r="AM16" s="81">
        <v>-288</v>
      </c>
    </row>
    <row r="17" spans="1:39" ht="12" customHeight="1">
      <c r="A17" s="71" t="s">
        <v>74</v>
      </c>
      <c r="B17" s="5"/>
      <c r="C17" s="30">
        <v>-28</v>
      </c>
      <c r="D17" s="138">
        <v>0</v>
      </c>
      <c r="E17" s="92">
        <v>-70</v>
      </c>
      <c r="F17" s="30">
        <v>-70</v>
      </c>
      <c r="G17" s="30">
        <v>-8</v>
      </c>
      <c r="H17" s="30">
        <v>2</v>
      </c>
      <c r="I17" s="30">
        <v>-146</v>
      </c>
      <c r="J17" s="145">
        <v>0</v>
      </c>
      <c r="K17" s="92">
        <v>-35</v>
      </c>
      <c r="L17" s="30">
        <v>-6</v>
      </c>
      <c r="M17" s="30">
        <v>-39</v>
      </c>
      <c r="N17" s="30">
        <v>28</v>
      </c>
      <c r="O17" s="30">
        <v>-52</v>
      </c>
      <c r="Q17" s="92">
        <v>-40</v>
      </c>
      <c r="R17" s="30">
        <v>16</v>
      </c>
      <c r="S17" s="30">
        <v>-21</v>
      </c>
      <c r="T17" s="30">
        <v>14</v>
      </c>
      <c r="U17" s="30">
        <f>-83+52</f>
        <v>-31</v>
      </c>
      <c r="W17" s="92">
        <v>-32</v>
      </c>
      <c r="X17" s="30">
        <v>105</v>
      </c>
      <c r="Y17" s="30">
        <v>127</v>
      </c>
      <c r="Z17" s="30">
        <v>-10</v>
      </c>
      <c r="AA17" s="30">
        <v>190</v>
      </c>
      <c r="AC17" s="92">
        <v>-24</v>
      </c>
      <c r="AD17" s="242">
        <v>-1</v>
      </c>
      <c r="AE17" s="242">
        <v>-8</v>
      </c>
      <c r="AF17" s="242">
        <v>-10</v>
      </c>
      <c r="AG17" s="242">
        <v>-43</v>
      </c>
      <c r="AH17" s="331"/>
      <c r="AI17" s="242">
        <f>-42-4</f>
        <v>-46</v>
      </c>
      <c r="AJ17" s="242">
        <v>-21</v>
      </c>
      <c r="AK17" s="242">
        <v>33</v>
      </c>
      <c r="AL17" s="282">
        <v>-20</v>
      </c>
      <c r="AM17" s="81">
        <v>-54</v>
      </c>
    </row>
    <row r="18" spans="1:39" ht="12" customHeight="1">
      <c r="A18" s="74" t="s">
        <v>75</v>
      </c>
      <c r="B18" s="10"/>
      <c r="C18" s="25">
        <f>SUM(C14:C17)</f>
        <v>-3828</v>
      </c>
      <c r="D18" s="138"/>
      <c r="E18" s="88">
        <f>SUM(E14:E17)</f>
        <v>-1884</v>
      </c>
      <c r="F18" s="25">
        <f>SUM(F14:F17)</f>
        <v>-2855</v>
      </c>
      <c r="G18" s="25">
        <f>SUM(G14:G17)</f>
        <v>-937</v>
      </c>
      <c r="H18" s="25">
        <f>SUM(H14:H17)</f>
        <v>-1196</v>
      </c>
      <c r="I18" s="25">
        <f>SUM(I14:I17)</f>
        <v>-6872</v>
      </c>
      <c r="K18" s="88">
        <f>SUM(K14:K17)</f>
        <v>-1053</v>
      </c>
      <c r="L18" s="25">
        <f>SUM(L14:L17)</f>
        <v>-744</v>
      </c>
      <c r="M18" s="25">
        <f>SUM(M14:M17)</f>
        <v>-747</v>
      </c>
      <c r="N18" s="25">
        <f>SUM(N14:N17)</f>
        <v>-946</v>
      </c>
      <c r="O18" s="25">
        <f>SUM(O14:O17)</f>
        <v>-3490</v>
      </c>
      <c r="Q18" s="88">
        <f>SUM(Q14:Q17)</f>
        <v>-651</v>
      </c>
      <c r="R18" s="25">
        <f>SUM(R14:R17)</f>
        <v>-575</v>
      </c>
      <c r="S18" s="25">
        <f>SUM(S14:S17)</f>
        <v>-398</v>
      </c>
      <c r="T18" s="25">
        <f>SUM(T14:T17)</f>
        <v>-888</v>
      </c>
      <c r="U18" s="25">
        <f>U14+U15+U16+U17</f>
        <v>-2512</v>
      </c>
      <c r="W18" s="88">
        <f>SUM(W14:W17)</f>
        <v>-608</v>
      </c>
      <c r="X18" s="25">
        <f>SUM(X14:X17)</f>
        <v>-549</v>
      </c>
      <c r="Y18" s="25">
        <f>SUM(Y14:Y17)</f>
        <v>-299</v>
      </c>
      <c r="Z18" s="25">
        <v>-943</v>
      </c>
      <c r="AA18" s="25">
        <f>SUM(AA14:AA17)</f>
        <v>-2399</v>
      </c>
      <c r="AC18" s="88">
        <f>SUM(AC14:AC17)</f>
        <v>-869</v>
      </c>
      <c r="AD18" s="289">
        <f>SUM(AD14:AD17)</f>
        <v>-531</v>
      </c>
      <c r="AE18" s="289">
        <v>-579</v>
      </c>
      <c r="AF18" s="289">
        <v>-875</v>
      </c>
      <c r="AG18" s="289">
        <v>-2854</v>
      </c>
      <c r="AH18" s="332"/>
      <c r="AI18" s="289">
        <v>-790</v>
      </c>
      <c r="AJ18" s="289">
        <v>-755</v>
      </c>
      <c r="AK18" s="289">
        <f>+AK14+AK15+AK16+AK17</f>
        <v>-615</v>
      </c>
      <c r="AL18" s="82">
        <f>AL14+AL15+AL16+AL17</f>
        <v>-604</v>
      </c>
      <c r="AM18" s="82">
        <f>AM14+AM15+AM16+AM17</f>
        <v>-2764</v>
      </c>
    </row>
    <row r="19" spans="1:39" ht="12" customHeight="1">
      <c r="A19" s="87"/>
      <c r="B19" s="4"/>
      <c r="C19" s="140"/>
      <c r="D19" s="138"/>
      <c r="E19" s="141"/>
      <c r="F19" s="140"/>
      <c r="G19" s="140"/>
      <c r="H19" s="140"/>
      <c r="I19" s="140"/>
      <c r="K19" s="141"/>
      <c r="L19" s="140"/>
      <c r="M19" s="140"/>
      <c r="N19" s="140"/>
      <c r="O19" s="140"/>
      <c r="Q19" s="141"/>
      <c r="R19" s="140"/>
      <c r="S19" s="140"/>
      <c r="T19" s="140"/>
      <c r="U19" s="40"/>
      <c r="W19" s="141"/>
      <c r="X19" s="40"/>
      <c r="Y19" s="40"/>
      <c r="Z19" s="40"/>
      <c r="AA19" s="40"/>
      <c r="AC19" s="141"/>
      <c r="AD19" s="177"/>
      <c r="AE19" s="304"/>
      <c r="AF19" s="304"/>
      <c r="AG19" s="304"/>
      <c r="AH19" s="331"/>
      <c r="AI19" s="177"/>
      <c r="AJ19" s="304"/>
      <c r="AK19" s="304"/>
      <c r="AL19" s="177"/>
      <c r="AM19" s="177"/>
    </row>
    <row r="20" spans="1:39" ht="12" customHeight="1">
      <c r="A20" s="75" t="s">
        <v>271</v>
      </c>
      <c r="B20" s="5"/>
      <c r="C20" s="90">
        <v>1974</v>
      </c>
      <c r="D20" s="139"/>
      <c r="E20" s="142">
        <v>1137</v>
      </c>
      <c r="F20" s="90">
        <v>2261</v>
      </c>
      <c r="G20" s="90">
        <v>648</v>
      </c>
      <c r="H20" s="90">
        <v>910</v>
      </c>
      <c r="I20" s="90">
        <v>4956</v>
      </c>
      <c r="K20" s="142">
        <v>1044</v>
      </c>
      <c r="L20" s="90">
        <v>870</v>
      </c>
      <c r="M20" s="90">
        <v>915</v>
      </c>
      <c r="N20" s="90">
        <v>369</v>
      </c>
      <c r="O20" s="90">
        <v>3198</v>
      </c>
      <c r="Q20" s="142">
        <v>761</v>
      </c>
      <c r="R20" s="90">
        <v>676</v>
      </c>
      <c r="S20" s="90">
        <v>198</v>
      </c>
      <c r="T20" s="90">
        <v>781</v>
      </c>
      <c r="U20" s="90">
        <v>2416</v>
      </c>
      <c r="W20" s="142">
        <v>1112</v>
      </c>
      <c r="X20" s="90">
        <v>932</v>
      </c>
      <c r="Y20" s="90">
        <f>-8+8</f>
        <v>0</v>
      </c>
      <c r="Z20" s="90">
        <v>213</v>
      </c>
      <c r="AA20" s="90">
        <v>2257</v>
      </c>
      <c r="AC20" s="142">
        <v>3143</v>
      </c>
      <c r="AD20" s="296">
        <v>280</v>
      </c>
      <c r="AE20" s="296">
        <v>953</v>
      </c>
      <c r="AF20" s="296">
        <v>293</v>
      </c>
      <c r="AG20" s="296">
        <v>4669</v>
      </c>
      <c r="AH20" s="331"/>
      <c r="AI20" s="296">
        <v>1662</v>
      </c>
      <c r="AJ20" s="296">
        <v>2390</v>
      </c>
      <c r="AK20" s="296">
        <v>0</v>
      </c>
      <c r="AL20" s="282">
        <v>0</v>
      </c>
      <c r="AM20" s="282">
        <v>4052</v>
      </c>
    </row>
    <row r="21" spans="1:39" ht="12" customHeight="1">
      <c r="A21" s="75" t="s">
        <v>272</v>
      </c>
      <c r="B21" s="5"/>
      <c r="C21" s="90">
        <v>0</v>
      </c>
      <c r="D21" s="139">
        <v>0</v>
      </c>
      <c r="E21" s="142">
        <v>0</v>
      </c>
      <c r="F21" s="90">
        <v>0</v>
      </c>
      <c r="G21" s="90">
        <v>0</v>
      </c>
      <c r="H21" s="90">
        <v>0</v>
      </c>
      <c r="I21" s="90">
        <v>0</v>
      </c>
      <c r="K21" s="142">
        <v>0</v>
      </c>
      <c r="L21" s="90">
        <v>0</v>
      </c>
      <c r="M21" s="90">
        <v>0</v>
      </c>
      <c r="N21" s="90">
        <v>0</v>
      </c>
      <c r="O21" s="90">
        <v>0</v>
      </c>
      <c r="Q21" s="142">
        <v>0</v>
      </c>
      <c r="R21" s="90">
        <v>0</v>
      </c>
      <c r="S21" s="90">
        <v>0</v>
      </c>
      <c r="T21" s="90">
        <v>0</v>
      </c>
      <c r="U21" s="90">
        <v>0</v>
      </c>
      <c r="W21" s="142">
        <v>0</v>
      </c>
      <c r="X21" s="90">
        <v>0</v>
      </c>
      <c r="Y21" s="90">
        <v>0</v>
      </c>
      <c r="Z21" s="90">
        <v>0</v>
      </c>
      <c r="AA21" s="90">
        <v>0</v>
      </c>
      <c r="AC21" s="142">
        <v>0</v>
      </c>
      <c r="AD21" s="296">
        <v>2000</v>
      </c>
      <c r="AE21" s="296">
        <v>0</v>
      </c>
      <c r="AF21" s="242">
        <v>0</v>
      </c>
      <c r="AG21" s="296">
        <v>2000</v>
      </c>
      <c r="AH21" s="331"/>
      <c r="AI21" s="296">
        <v>0</v>
      </c>
      <c r="AJ21" s="296">
        <v>0</v>
      </c>
      <c r="AK21" s="296">
        <v>0</v>
      </c>
      <c r="AL21" s="282">
        <v>0</v>
      </c>
      <c r="AM21" s="282">
        <v>0</v>
      </c>
    </row>
    <row r="22" spans="1:39" ht="12" customHeight="1">
      <c r="A22" s="71" t="s">
        <v>273</v>
      </c>
      <c r="B22" s="5"/>
      <c r="C22" s="30">
        <v>-1135</v>
      </c>
      <c r="D22" s="139"/>
      <c r="E22" s="92">
        <v>0</v>
      </c>
      <c r="F22" s="30">
        <v>0</v>
      </c>
      <c r="G22" s="30">
        <v>-214</v>
      </c>
      <c r="H22" s="30">
        <v>-161</v>
      </c>
      <c r="I22" s="30">
        <v>-375</v>
      </c>
      <c r="K22" s="92">
        <v>-325</v>
      </c>
      <c r="L22" s="30">
        <v>-593</v>
      </c>
      <c r="M22" s="30">
        <v>-813</v>
      </c>
      <c r="N22" s="30">
        <v>-870</v>
      </c>
      <c r="O22" s="30">
        <v>-2601</v>
      </c>
      <c r="Q22" s="92">
        <v>-733</v>
      </c>
      <c r="R22" s="30">
        <v>-774</v>
      </c>
      <c r="S22" s="30">
        <v>0</v>
      </c>
      <c r="T22" s="30">
        <v>-523</v>
      </c>
      <c r="U22" s="30">
        <v>-2030</v>
      </c>
      <c r="W22" s="92">
        <v>-481</v>
      </c>
      <c r="X22" s="30">
        <v>-665</v>
      </c>
      <c r="Y22" s="30">
        <f>-235-8</f>
        <v>-243</v>
      </c>
      <c r="Z22" s="90">
        <f>-764+80</f>
        <v>-684</v>
      </c>
      <c r="AA22" s="90">
        <f>W22+X22+Y22+Z22</f>
        <v>-2073</v>
      </c>
      <c r="AC22" s="92">
        <v>-3065</v>
      </c>
      <c r="AD22" s="242">
        <v>-1951</v>
      </c>
      <c r="AE22" s="242">
        <v>-1352</v>
      </c>
      <c r="AF22" s="242">
        <v>-1358</v>
      </c>
      <c r="AG22" s="242">
        <v>-7726</v>
      </c>
      <c r="AH22" s="331"/>
      <c r="AI22" s="242">
        <v>-449</v>
      </c>
      <c r="AJ22" s="242">
        <v>-2693</v>
      </c>
      <c r="AK22" s="242">
        <v>-1275</v>
      </c>
      <c r="AL22" s="282">
        <v>-61</v>
      </c>
      <c r="AM22" s="81">
        <v>-4478</v>
      </c>
    </row>
    <row r="23" spans="1:39" ht="12" customHeight="1">
      <c r="A23" s="71" t="s">
        <v>161</v>
      </c>
      <c r="B23" s="5"/>
      <c r="C23" s="30">
        <v>-1000</v>
      </c>
      <c r="D23" s="139"/>
      <c r="E23" s="92">
        <v>0</v>
      </c>
      <c r="F23" s="30">
        <v>-400</v>
      </c>
      <c r="G23" s="30">
        <v>0</v>
      </c>
      <c r="H23" s="30">
        <v>-400</v>
      </c>
      <c r="I23" s="30">
        <v>-800</v>
      </c>
      <c r="K23" s="92">
        <v>0</v>
      </c>
      <c r="L23" s="30">
        <v>0</v>
      </c>
      <c r="M23" s="30">
        <v>-150</v>
      </c>
      <c r="N23" s="30">
        <v>-150</v>
      </c>
      <c r="O23" s="30">
        <v>-300</v>
      </c>
      <c r="Q23" s="92">
        <v>0</v>
      </c>
      <c r="R23" s="30">
        <v>0</v>
      </c>
      <c r="S23" s="30">
        <v>-100</v>
      </c>
      <c r="T23" s="30">
        <v>-100</v>
      </c>
      <c r="U23" s="30">
        <v>-200</v>
      </c>
      <c r="W23" s="92">
        <v>0</v>
      </c>
      <c r="X23" s="30">
        <v>0</v>
      </c>
      <c r="Y23" s="30">
        <v>0</v>
      </c>
      <c r="Z23" s="30">
        <v>0</v>
      </c>
      <c r="AA23" s="30">
        <v>0</v>
      </c>
      <c r="AC23" s="92">
        <v>0</v>
      </c>
      <c r="AD23" s="242">
        <v>0</v>
      </c>
      <c r="AE23" s="242">
        <v>0</v>
      </c>
      <c r="AF23" s="242">
        <v>0</v>
      </c>
      <c r="AG23" s="242">
        <v>0</v>
      </c>
      <c r="AH23" s="331"/>
      <c r="AI23" s="242">
        <v>0</v>
      </c>
      <c r="AJ23" s="242">
        <v>0</v>
      </c>
      <c r="AK23" s="242">
        <v>0</v>
      </c>
      <c r="AL23" s="282">
        <f>AM23-AI23-AJ23-AK23</f>
        <v>0</v>
      </c>
      <c r="AM23" s="81">
        <v>0</v>
      </c>
    </row>
    <row r="24" spans="1:39" ht="12" customHeight="1">
      <c r="A24" s="71" t="s">
        <v>79</v>
      </c>
      <c r="B24" s="5"/>
      <c r="C24" s="30">
        <v>-21</v>
      </c>
      <c r="D24" s="139"/>
      <c r="E24" s="92">
        <v>-13</v>
      </c>
      <c r="F24" s="30">
        <v>-15</v>
      </c>
      <c r="G24" s="30">
        <v>-28</v>
      </c>
      <c r="H24" s="30">
        <v>-19</v>
      </c>
      <c r="I24" s="30">
        <v>-75</v>
      </c>
      <c r="K24" s="92">
        <v>-22</v>
      </c>
      <c r="L24" s="30">
        <v>-21</v>
      </c>
      <c r="M24" s="30">
        <v>-37</v>
      </c>
      <c r="N24" s="30">
        <v>-39</v>
      </c>
      <c r="O24" s="30">
        <v>-119</v>
      </c>
      <c r="Q24" s="92">
        <v>-36</v>
      </c>
      <c r="R24" s="30">
        <v>-34</v>
      </c>
      <c r="S24" s="30">
        <v>-34</v>
      </c>
      <c r="T24" s="30">
        <v>-34</v>
      </c>
      <c r="U24" s="30">
        <v>-138</v>
      </c>
      <c r="W24" s="92">
        <v>-30</v>
      </c>
      <c r="X24" s="30">
        <v>-36</v>
      </c>
      <c r="Y24" s="30">
        <v>-41</v>
      </c>
      <c r="Z24" s="30">
        <v>-45</v>
      </c>
      <c r="AA24" s="30">
        <v>-152</v>
      </c>
      <c r="AC24" s="92">
        <v>-48</v>
      </c>
      <c r="AD24" s="242">
        <v>-51</v>
      </c>
      <c r="AE24" s="242">
        <v>-8</v>
      </c>
      <c r="AF24" s="242">
        <v>-121</v>
      </c>
      <c r="AG24" s="242">
        <v>-228</v>
      </c>
      <c r="AH24" s="331"/>
      <c r="AI24" s="242">
        <v>-63</v>
      </c>
      <c r="AJ24" s="242">
        <v>-65</v>
      </c>
      <c r="AK24" s="242">
        <v>-20</v>
      </c>
      <c r="AL24" s="282">
        <v>-25</v>
      </c>
      <c r="AM24" s="81">
        <v>-173</v>
      </c>
    </row>
    <row r="25" spans="1:39" ht="12" customHeight="1">
      <c r="A25" s="71" t="s">
        <v>80</v>
      </c>
      <c r="B25" s="5"/>
      <c r="C25" s="30">
        <v>-40</v>
      </c>
      <c r="D25" s="139">
        <v>0</v>
      </c>
      <c r="E25" s="92">
        <v>0</v>
      </c>
      <c r="F25" s="30">
        <v>0</v>
      </c>
      <c r="G25" s="30">
        <v>0</v>
      </c>
      <c r="H25" s="30">
        <v>-23</v>
      </c>
      <c r="I25" s="30">
        <v>-23</v>
      </c>
      <c r="J25" s="145">
        <v>0</v>
      </c>
      <c r="K25" s="92">
        <v>0</v>
      </c>
      <c r="L25" s="30">
        <v>8</v>
      </c>
      <c r="M25" s="30">
        <v>0</v>
      </c>
      <c r="N25" s="30">
        <v>0</v>
      </c>
      <c r="O25" s="30">
        <v>8</v>
      </c>
      <c r="Q25" s="92">
        <v>0</v>
      </c>
      <c r="R25" s="30">
        <v>227</v>
      </c>
      <c r="S25" s="30">
        <v>-67</v>
      </c>
      <c r="T25" s="30">
        <v>0</v>
      </c>
      <c r="U25" s="30">
        <v>160</v>
      </c>
      <c r="W25" s="92">
        <v>60</v>
      </c>
      <c r="X25" s="30">
        <v>-100</v>
      </c>
      <c r="Y25" s="30">
        <v>-10</v>
      </c>
      <c r="Z25" s="90">
        <f>50-80</f>
        <v>-30</v>
      </c>
      <c r="AA25" s="90">
        <f>W25+X25+Y25+Z25</f>
        <v>-80</v>
      </c>
      <c r="AC25" s="92">
        <v>55</v>
      </c>
      <c r="AD25" s="242">
        <v>-98</v>
      </c>
      <c r="AE25" s="242">
        <v>22</v>
      </c>
      <c r="AF25" s="242">
        <v>41</v>
      </c>
      <c r="AG25" s="242">
        <v>20</v>
      </c>
      <c r="AH25" s="331"/>
      <c r="AI25" s="242">
        <v>-54</v>
      </c>
      <c r="AJ25" s="242">
        <v>68</v>
      </c>
      <c r="AK25" s="242">
        <v>47</v>
      </c>
      <c r="AL25" s="282">
        <v>31</v>
      </c>
      <c r="AM25" s="81">
        <v>92</v>
      </c>
    </row>
    <row r="26" spans="1:39" ht="12" customHeight="1">
      <c r="A26" s="74" t="s">
        <v>81</v>
      </c>
      <c r="B26" s="10"/>
      <c r="C26" s="25">
        <f>SUM(C20:C25)</f>
        <v>-222</v>
      </c>
      <c r="D26" s="139">
        <f aca="true" t="shared" si="0" ref="D26:I26">SUM(D20:D25)</f>
        <v>0</v>
      </c>
      <c r="E26" s="88">
        <f t="shared" si="0"/>
        <v>1124</v>
      </c>
      <c r="F26" s="25">
        <f t="shared" si="0"/>
        <v>1846</v>
      </c>
      <c r="G26" s="25">
        <f t="shared" si="0"/>
        <v>406</v>
      </c>
      <c r="H26" s="25">
        <f t="shared" si="0"/>
        <v>307</v>
      </c>
      <c r="I26" s="25">
        <f t="shared" si="0"/>
        <v>3683</v>
      </c>
      <c r="K26" s="88">
        <f>SUM(K20:K25)</f>
        <v>697</v>
      </c>
      <c r="L26" s="25">
        <f>SUM(L20:L25)</f>
        <v>264</v>
      </c>
      <c r="M26" s="25">
        <f>SUM(M20:M25)</f>
        <v>-85</v>
      </c>
      <c r="N26" s="25">
        <f>SUM(N20:N25)</f>
        <v>-690</v>
      </c>
      <c r="O26" s="25">
        <f>SUM(O20:O25)</f>
        <v>186</v>
      </c>
      <c r="Q26" s="88">
        <f>SUM(Q20:Q25)</f>
        <v>-8</v>
      </c>
      <c r="R26" s="25">
        <f>SUM(R20:R25)</f>
        <v>95</v>
      </c>
      <c r="S26" s="25">
        <f>SUM(S20:S25)</f>
        <v>-3</v>
      </c>
      <c r="T26" s="25">
        <f>SUM(T20:T25)</f>
        <v>124</v>
      </c>
      <c r="U26" s="25">
        <f>U20+U22+U23+U24+U25</f>
        <v>208</v>
      </c>
      <c r="W26" s="88">
        <f>SUM(W20:W25)</f>
        <v>661</v>
      </c>
      <c r="X26" s="25">
        <f>SUM(X20:X25)</f>
        <v>131</v>
      </c>
      <c r="Y26" s="25">
        <f>SUM(Y20:Y25)</f>
        <v>-294</v>
      </c>
      <c r="Z26" s="25">
        <v>-546</v>
      </c>
      <c r="AA26" s="25">
        <f>SUM(AA20:AA25)</f>
        <v>-48</v>
      </c>
      <c r="AC26" s="88">
        <f>SUM(AC20:AC25)</f>
        <v>85</v>
      </c>
      <c r="AD26" s="289">
        <f>SUM(AD20:AD25)</f>
        <v>180</v>
      </c>
      <c r="AE26" s="289">
        <v>-385</v>
      </c>
      <c r="AF26" s="289">
        <v>-1145</v>
      </c>
      <c r="AG26" s="289">
        <v>-1265</v>
      </c>
      <c r="AH26" s="332"/>
      <c r="AI26" s="289">
        <v>1096</v>
      </c>
      <c r="AJ26" s="289">
        <v>-300</v>
      </c>
      <c r="AK26" s="289">
        <f>+AK20+AK21+AK22+AK23+AK24+AK25</f>
        <v>-1248</v>
      </c>
      <c r="AL26" s="82">
        <f>AL20+AL21+AL22+AL23+AL24+AL25</f>
        <v>-55</v>
      </c>
      <c r="AM26" s="82">
        <f>AM20+AM21+AM22+AM23+AM24+AM25</f>
        <v>-507</v>
      </c>
    </row>
    <row r="27" spans="1:39" ht="12" customHeight="1">
      <c r="A27" s="86"/>
      <c r="B27" s="10"/>
      <c r="C27" s="140"/>
      <c r="D27" s="138"/>
      <c r="E27" s="141"/>
      <c r="F27" s="140"/>
      <c r="G27" s="140"/>
      <c r="H27" s="140"/>
      <c r="I27" s="140"/>
      <c r="K27" s="141"/>
      <c r="L27" s="140"/>
      <c r="M27" s="140"/>
      <c r="N27" s="140"/>
      <c r="O27" s="140"/>
      <c r="Q27" s="141"/>
      <c r="R27" s="140"/>
      <c r="S27" s="140"/>
      <c r="T27" s="140"/>
      <c r="U27" s="40"/>
      <c r="W27" s="141"/>
      <c r="X27" s="40"/>
      <c r="Y27" s="40"/>
      <c r="Z27" s="40"/>
      <c r="AA27" s="40"/>
      <c r="AC27" s="141"/>
      <c r="AD27" s="177"/>
      <c r="AE27" s="304"/>
      <c r="AF27" s="304"/>
      <c r="AG27" s="304"/>
      <c r="AH27" s="331"/>
      <c r="AI27" s="177"/>
      <c r="AJ27" s="304"/>
      <c r="AK27" s="304"/>
      <c r="AL27" s="177"/>
      <c r="AM27" s="177"/>
    </row>
    <row r="28" spans="1:39" ht="12" customHeight="1">
      <c r="A28" s="76" t="s">
        <v>82</v>
      </c>
      <c r="B28" s="10"/>
      <c r="C28" s="143">
        <f>C12+C18+C26</f>
        <v>-50</v>
      </c>
      <c r="D28" s="138"/>
      <c r="E28" s="144">
        <f>E12+E18+E26</f>
        <v>397</v>
      </c>
      <c r="F28" s="143">
        <f>F12+F18+F26</f>
        <v>-44</v>
      </c>
      <c r="G28" s="143">
        <f>G12+G18+G26</f>
        <v>158</v>
      </c>
      <c r="H28" s="143">
        <f>H12+H18+H26</f>
        <v>-421</v>
      </c>
      <c r="I28" s="143">
        <f>I12+I18+I26</f>
        <v>90</v>
      </c>
      <c r="K28" s="144">
        <f>K12+K18+K26</f>
        <v>82</v>
      </c>
      <c r="L28" s="143">
        <f>L12+L18+L26</f>
        <v>124</v>
      </c>
      <c r="M28" s="143">
        <f>M12+M18+M26</f>
        <v>-11</v>
      </c>
      <c r="N28" s="143">
        <f>N12+N18+N26</f>
        <v>98</v>
      </c>
      <c r="O28" s="143">
        <f>O12+O18+O26</f>
        <v>293</v>
      </c>
      <c r="Q28" s="144">
        <f>Q12+Q18+Q26</f>
        <v>-112</v>
      </c>
      <c r="R28" s="143">
        <f>R12+R18+R26</f>
        <v>-227</v>
      </c>
      <c r="S28" s="143">
        <f>S12+S18+S26</f>
        <v>6</v>
      </c>
      <c r="T28" s="143">
        <v>109</v>
      </c>
      <c r="U28" s="143">
        <f>U12+U18+U26</f>
        <v>-224</v>
      </c>
      <c r="W28" s="144">
        <f>W12+W18+W26</f>
        <v>-29</v>
      </c>
      <c r="X28" s="143">
        <f>X12+X18+X26</f>
        <v>32</v>
      </c>
      <c r="Y28" s="143">
        <f>Y12+Y18+Y26</f>
        <v>174</v>
      </c>
      <c r="Z28" s="143">
        <f>Z12+Z18+Z26</f>
        <v>191</v>
      </c>
      <c r="AA28" s="143">
        <f>AA12+AA18+AA26</f>
        <v>368</v>
      </c>
      <c r="AC28" s="144">
        <f>AC12+AC18+AC26</f>
        <v>-268</v>
      </c>
      <c r="AD28" s="294">
        <f>AD12+AD18+AD26</f>
        <v>402</v>
      </c>
      <c r="AE28" s="294">
        <f>AE12+AE18+AE26</f>
        <v>-393</v>
      </c>
      <c r="AF28" s="294">
        <f>AG28-AE28-AD28-AC28</f>
        <v>183</v>
      </c>
      <c r="AG28" s="294">
        <v>-76</v>
      </c>
      <c r="AH28" s="332"/>
      <c r="AI28" s="294">
        <v>1360</v>
      </c>
      <c r="AJ28" s="294">
        <v>-184</v>
      </c>
      <c r="AK28" s="294">
        <f>+AK12+AK18+AK26</f>
        <v>-928</v>
      </c>
      <c r="AL28" s="235">
        <v>1297</v>
      </c>
      <c r="AM28" s="235">
        <v>1545</v>
      </c>
    </row>
    <row r="29" spans="1:39" ht="12" customHeight="1">
      <c r="A29" s="73" t="s">
        <v>84</v>
      </c>
      <c r="B29" s="9"/>
      <c r="C29" s="30">
        <v>12</v>
      </c>
      <c r="D29" s="139"/>
      <c r="E29" s="92">
        <v>-16</v>
      </c>
      <c r="F29" s="30">
        <v>1</v>
      </c>
      <c r="G29" s="30">
        <v>-3</v>
      </c>
      <c r="H29" s="30">
        <v>1</v>
      </c>
      <c r="I29" s="30">
        <v>-17</v>
      </c>
      <c r="K29" s="92">
        <v>21</v>
      </c>
      <c r="L29" s="30">
        <v>7</v>
      </c>
      <c r="M29" s="30">
        <v>-22</v>
      </c>
      <c r="N29" s="30">
        <v>25</v>
      </c>
      <c r="O29" s="30">
        <v>31</v>
      </c>
      <c r="Q29" s="92">
        <v>-25</v>
      </c>
      <c r="R29" s="30">
        <v>0</v>
      </c>
      <c r="S29" s="30">
        <v>0</v>
      </c>
      <c r="T29" s="30">
        <v>1</v>
      </c>
      <c r="U29" s="30">
        <v>-24</v>
      </c>
      <c r="W29" s="92">
        <v>10</v>
      </c>
      <c r="X29" s="30">
        <v>2</v>
      </c>
      <c r="Y29" s="30">
        <v>6</v>
      </c>
      <c r="Z29" s="30">
        <v>7</v>
      </c>
      <c r="AA29" s="30">
        <v>25</v>
      </c>
      <c r="AC29" s="92">
        <v>-32</v>
      </c>
      <c r="AD29" s="242">
        <v>-3</v>
      </c>
      <c r="AE29" s="242">
        <f>-31-AC29-AD29</f>
        <v>4</v>
      </c>
      <c r="AF29" s="242">
        <f>AG29-AE29-AD29-AC29</f>
        <v>-4</v>
      </c>
      <c r="AG29" s="242">
        <v>-35</v>
      </c>
      <c r="AH29" s="331"/>
      <c r="AI29" s="242">
        <v>23</v>
      </c>
      <c r="AJ29" s="242">
        <v>-8</v>
      </c>
      <c r="AK29" s="242">
        <v>2</v>
      </c>
      <c r="AL29" s="235">
        <v>57</v>
      </c>
      <c r="AM29" s="81">
        <v>74</v>
      </c>
    </row>
    <row r="30" spans="1:39" ht="12" customHeight="1">
      <c r="A30" s="73" t="s">
        <v>83</v>
      </c>
      <c r="B30" s="9"/>
      <c r="C30" s="25">
        <v>123</v>
      </c>
      <c r="D30" s="138"/>
      <c r="E30" s="88">
        <v>85</v>
      </c>
      <c r="F30" s="25">
        <v>466</v>
      </c>
      <c r="G30" s="25">
        <v>423</v>
      </c>
      <c r="H30" s="25">
        <v>578</v>
      </c>
      <c r="I30" s="25">
        <v>85</v>
      </c>
      <c r="K30" s="88">
        <v>158</v>
      </c>
      <c r="L30" s="25">
        <v>261</v>
      </c>
      <c r="M30" s="25">
        <v>392</v>
      </c>
      <c r="N30" s="25">
        <v>359</v>
      </c>
      <c r="O30" s="25">
        <v>158</v>
      </c>
      <c r="Q30" s="88">
        <v>482</v>
      </c>
      <c r="R30" s="25">
        <v>345</v>
      </c>
      <c r="S30" s="25">
        <v>118</v>
      </c>
      <c r="T30" s="25">
        <v>124</v>
      </c>
      <c r="U30" s="25">
        <v>482</v>
      </c>
      <c r="W30" s="88">
        <v>234</v>
      </c>
      <c r="X30" s="25">
        <v>215</v>
      </c>
      <c r="Y30" s="25">
        <v>249</v>
      </c>
      <c r="Z30" s="25">
        <v>429</v>
      </c>
      <c r="AA30" s="25">
        <v>234</v>
      </c>
      <c r="AC30" s="88">
        <v>627</v>
      </c>
      <c r="AD30" s="289">
        <v>327</v>
      </c>
      <c r="AE30" s="289">
        <f>AD31</f>
        <v>726</v>
      </c>
      <c r="AF30" s="289">
        <v>337</v>
      </c>
      <c r="AG30" s="289">
        <v>627</v>
      </c>
      <c r="AH30" s="332"/>
      <c r="AI30" s="289">
        <v>516</v>
      </c>
      <c r="AJ30" s="289">
        <v>1899</v>
      </c>
      <c r="AK30" s="289">
        <v>1707</v>
      </c>
      <c r="AL30" s="82">
        <v>781</v>
      </c>
      <c r="AM30" s="82">
        <v>516</v>
      </c>
    </row>
    <row r="31" spans="1:39" ht="12" customHeight="1">
      <c r="A31" s="74" t="s">
        <v>85</v>
      </c>
      <c r="B31" s="10"/>
      <c r="C31" s="25">
        <f>C28+C30+C29</f>
        <v>85</v>
      </c>
      <c r="D31" s="138"/>
      <c r="E31" s="88">
        <f>E28+E30+E29</f>
        <v>466</v>
      </c>
      <c r="F31" s="25">
        <f>F28+F30+F29</f>
        <v>423</v>
      </c>
      <c r="G31" s="25">
        <f>G28+G30+G29</f>
        <v>578</v>
      </c>
      <c r="H31" s="25">
        <f>H28+H30+H29</f>
        <v>158</v>
      </c>
      <c r="I31" s="25">
        <f>I28+I30+I29</f>
        <v>158</v>
      </c>
      <c r="J31" s="138"/>
      <c r="K31" s="88">
        <f aca="true" t="shared" si="1" ref="K31:S31">K28+K30+K29</f>
        <v>261</v>
      </c>
      <c r="L31" s="25">
        <f t="shared" si="1"/>
        <v>392</v>
      </c>
      <c r="M31" s="25">
        <f t="shared" si="1"/>
        <v>359</v>
      </c>
      <c r="N31" s="25">
        <f t="shared" si="1"/>
        <v>482</v>
      </c>
      <c r="O31" s="25">
        <f t="shared" si="1"/>
        <v>482</v>
      </c>
      <c r="P31" s="138">
        <f t="shared" si="1"/>
        <v>0</v>
      </c>
      <c r="Q31" s="88">
        <f t="shared" si="1"/>
        <v>345</v>
      </c>
      <c r="R31" s="25">
        <f t="shared" si="1"/>
        <v>118</v>
      </c>
      <c r="S31" s="25">
        <f t="shared" si="1"/>
        <v>124</v>
      </c>
      <c r="T31" s="25">
        <v>234</v>
      </c>
      <c r="U31" s="25">
        <v>234</v>
      </c>
      <c r="V31" s="138"/>
      <c r="W31" s="88">
        <f>W28+W30+W29</f>
        <v>215</v>
      </c>
      <c r="X31" s="25">
        <f>X28+X30+X29</f>
        <v>249</v>
      </c>
      <c r="Y31" s="25">
        <f>Y28+Y30+Y29</f>
        <v>429</v>
      </c>
      <c r="Z31" s="25">
        <f>Z28+Z30+Z29</f>
        <v>627</v>
      </c>
      <c r="AA31" s="25">
        <f>AA28+AA30+AA29</f>
        <v>627</v>
      </c>
      <c r="AC31" s="88">
        <f>AC28+AC30+AC29</f>
        <v>327</v>
      </c>
      <c r="AD31" s="289">
        <f>AD28+AD30+AD29</f>
        <v>726</v>
      </c>
      <c r="AE31" s="289">
        <v>337</v>
      </c>
      <c r="AF31" s="289">
        <v>516</v>
      </c>
      <c r="AG31" s="289">
        <v>516</v>
      </c>
      <c r="AH31" s="332"/>
      <c r="AI31" s="289">
        <v>1899</v>
      </c>
      <c r="AJ31" s="289">
        <v>1707</v>
      </c>
      <c r="AK31" s="289">
        <f>+AK28+AK29+AK30</f>
        <v>781</v>
      </c>
      <c r="AL31" s="82">
        <v>2135</v>
      </c>
      <c r="AM31" s="82">
        <f>AM28+AM29+AM30</f>
        <v>2135</v>
      </c>
    </row>
    <row r="32" spans="3:21" ht="12" customHeight="1">
      <c r="C32" s="146"/>
      <c r="D32" s="146"/>
      <c r="E32" s="146"/>
      <c r="F32" s="146"/>
      <c r="G32" s="146"/>
      <c r="H32" s="146"/>
      <c r="I32" s="146"/>
      <c r="K32" s="146"/>
      <c r="L32" s="146"/>
      <c r="M32" s="146"/>
      <c r="N32" s="146"/>
      <c r="O32" s="146"/>
      <c r="Q32" s="146"/>
      <c r="R32" s="146"/>
      <c r="S32" s="146"/>
      <c r="T32" s="146"/>
      <c r="U32" s="146"/>
    </row>
    <row r="33" spans="3:36" ht="12" customHeight="1">
      <c r="C33" s="147"/>
      <c r="D33" s="148"/>
      <c r="E33" s="148"/>
      <c r="F33" s="148"/>
      <c r="G33" s="148"/>
      <c r="H33" s="148"/>
      <c r="I33" s="147"/>
      <c r="K33" s="148"/>
      <c r="L33" s="148"/>
      <c r="M33" s="148"/>
      <c r="N33" s="148"/>
      <c r="O33" s="147"/>
      <c r="Q33" s="148"/>
      <c r="R33" s="148"/>
      <c r="S33" s="148"/>
      <c r="T33" s="148"/>
      <c r="U33" s="148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</row>
    <row r="34" spans="3:36" ht="12" customHeight="1">
      <c r="C34" s="146"/>
      <c r="D34" s="146"/>
      <c r="E34" s="146"/>
      <c r="F34" s="146"/>
      <c r="G34" s="146"/>
      <c r="H34" s="146"/>
      <c r="I34" s="146"/>
      <c r="K34" s="146"/>
      <c r="L34" s="146"/>
      <c r="M34" s="146"/>
      <c r="N34" s="146"/>
      <c r="O34" s="146"/>
      <c r="Q34" s="146"/>
      <c r="R34" s="146"/>
      <c r="S34" s="146"/>
      <c r="T34" s="146"/>
      <c r="U34" s="146"/>
      <c r="AE34" s="299"/>
      <c r="AF34" s="299"/>
      <c r="AG34" s="299"/>
      <c r="AH34" s="299"/>
      <c r="AI34" s="299"/>
      <c r="AJ34" s="299"/>
    </row>
    <row r="35" spans="3:21" ht="12" customHeight="1">
      <c r="C35" s="146"/>
      <c r="D35" s="149"/>
      <c r="E35" s="149"/>
      <c r="F35" s="149"/>
      <c r="G35" s="149"/>
      <c r="H35" s="149"/>
      <c r="I35" s="146"/>
      <c r="K35" s="149"/>
      <c r="L35" s="149"/>
      <c r="M35" s="149"/>
      <c r="N35" s="149"/>
      <c r="O35" s="146"/>
      <c r="Q35" s="149"/>
      <c r="R35" s="149"/>
      <c r="S35" s="149"/>
      <c r="T35" s="149"/>
      <c r="U35" s="14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9" r:id="rId1"/>
  <ignoredErrors>
    <ignoredError sqref="I2 O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="130" zoomScaleNormal="130" zoomScalePageLayoutView="0" workbookViewId="0" topLeftCell="A1">
      <pane xSplit="1" topLeftCell="Z1" activePane="topRight" state="frozen"/>
      <selection pane="topLeft" activeCell="A1" sqref="A1"/>
      <selection pane="topRight" activeCell="A1" sqref="A1"/>
    </sheetView>
  </sheetViews>
  <sheetFormatPr defaultColWidth="8.7109375" defaultRowHeight="12.75"/>
  <cols>
    <col min="1" max="1" width="52.28125" style="202" customWidth="1"/>
    <col min="2" max="2" width="2.421875" style="202" customWidth="1"/>
    <col min="3" max="3" width="6.7109375" style="49" bestFit="1" customWidth="1"/>
    <col min="4" max="4" width="1.1484375" style="150" customWidth="1"/>
    <col min="5" max="5" width="6.7109375" style="150" bestFit="1" customWidth="1"/>
    <col min="6" max="6" width="1.421875" style="150" customWidth="1"/>
    <col min="7" max="9" width="6.7109375" style="150" bestFit="1" customWidth="1"/>
    <col min="10" max="10" width="6.7109375" style="49" bestFit="1" customWidth="1"/>
    <col min="11" max="11" width="0.71875" style="150" customWidth="1"/>
    <col min="12" max="15" width="6.7109375" style="150" bestFit="1" customWidth="1"/>
    <col min="16" max="16" width="1.1484375" style="150" customWidth="1"/>
    <col min="17" max="20" width="6.7109375" style="150" bestFit="1" customWidth="1"/>
    <col min="21" max="21" width="0.9921875" style="150" customWidth="1"/>
    <col min="22" max="25" width="6.7109375" style="150" bestFit="1" customWidth="1"/>
    <col min="26" max="26" width="1.8515625" style="150" customWidth="1"/>
    <col min="27" max="27" width="6.7109375" style="150" bestFit="1" customWidth="1"/>
    <col min="28" max="28" width="6.7109375" style="337" bestFit="1" customWidth="1"/>
    <col min="29" max="88" width="8.7109375" style="150" customWidth="1"/>
    <col min="89" max="16384" width="8.7109375" style="150" customWidth="1"/>
  </cols>
  <sheetData>
    <row r="1" spans="1:2" ht="30">
      <c r="A1" s="373" t="s">
        <v>318</v>
      </c>
      <c r="B1" s="15"/>
    </row>
    <row r="2" spans="1:30" s="192" customFormat="1" ht="12" customHeight="1">
      <c r="A2" s="191"/>
      <c r="B2" s="191"/>
      <c r="C2" s="11">
        <v>2014</v>
      </c>
      <c r="D2" s="11"/>
      <c r="E2" s="11">
        <v>2015</v>
      </c>
      <c r="F2" s="11"/>
      <c r="G2" s="11" t="s">
        <v>11</v>
      </c>
      <c r="H2" s="11" t="s">
        <v>12</v>
      </c>
      <c r="I2" s="11" t="s">
        <v>13</v>
      </c>
      <c r="J2" s="11">
        <v>2016</v>
      </c>
      <c r="K2" s="11"/>
      <c r="L2" s="11" t="s">
        <v>55</v>
      </c>
      <c r="M2" s="11" t="s">
        <v>56</v>
      </c>
      <c r="N2" s="11" t="s">
        <v>60</v>
      </c>
      <c r="O2" s="11">
        <v>2017</v>
      </c>
      <c r="P2" s="11"/>
      <c r="Q2" s="11" t="s">
        <v>186</v>
      </c>
      <c r="R2" s="11" t="s">
        <v>190</v>
      </c>
      <c r="S2" s="11" t="s">
        <v>195</v>
      </c>
      <c r="T2" s="11">
        <v>2018</v>
      </c>
      <c r="V2" s="11" t="s">
        <v>250</v>
      </c>
      <c r="W2" s="11" t="s">
        <v>251</v>
      </c>
      <c r="X2" s="11" t="s">
        <v>276</v>
      </c>
      <c r="Y2" s="11">
        <v>2019</v>
      </c>
      <c r="AA2" s="11" t="s">
        <v>283</v>
      </c>
      <c r="AB2" s="3" t="s">
        <v>290</v>
      </c>
      <c r="AC2" s="3" t="s">
        <v>294</v>
      </c>
      <c r="AD2" s="3">
        <v>2020</v>
      </c>
    </row>
    <row r="3" spans="1:30" s="192" customFormat="1" ht="12" customHeight="1">
      <c r="A3" s="189" t="s">
        <v>91</v>
      </c>
      <c r="B3" s="188"/>
      <c r="C3" s="193"/>
      <c r="D3" s="194"/>
      <c r="E3" s="195"/>
      <c r="F3" s="194"/>
      <c r="G3" s="195"/>
      <c r="H3" s="195"/>
      <c r="I3" s="195"/>
      <c r="J3" s="193"/>
      <c r="K3" s="194"/>
      <c r="L3" s="195"/>
      <c r="M3" s="30"/>
      <c r="N3" s="30"/>
      <c r="O3" s="30"/>
      <c r="P3" s="139"/>
      <c r="Q3" s="30"/>
      <c r="R3" s="30"/>
      <c r="S3" s="30"/>
      <c r="T3" s="30"/>
      <c r="V3" s="30"/>
      <c r="W3" s="30"/>
      <c r="X3" s="30"/>
      <c r="Y3" s="30"/>
      <c r="AA3" s="30"/>
      <c r="AB3" s="242"/>
      <c r="AC3" s="30"/>
      <c r="AD3" s="242"/>
    </row>
    <row r="4" spans="1:30" s="192" customFormat="1" ht="12" customHeight="1">
      <c r="A4" s="196" t="s">
        <v>92</v>
      </c>
      <c r="B4" s="197"/>
      <c r="C4" s="92">
        <v>11335</v>
      </c>
      <c r="D4" s="198"/>
      <c r="E4" s="92">
        <v>12845</v>
      </c>
      <c r="F4" s="199"/>
      <c r="G4" s="92">
        <v>13219</v>
      </c>
      <c r="H4" s="200">
        <v>13602</v>
      </c>
      <c r="I4" s="200">
        <v>13893</v>
      </c>
      <c r="J4" s="193">
        <v>14379</v>
      </c>
      <c r="K4" s="199"/>
      <c r="L4" s="92">
        <v>14542</v>
      </c>
      <c r="M4" s="30">
        <v>14676</v>
      </c>
      <c r="N4" s="30">
        <v>14857</v>
      </c>
      <c r="O4" s="30">
        <v>15355</v>
      </c>
      <c r="P4" s="139"/>
      <c r="Q4" s="92">
        <v>15373</v>
      </c>
      <c r="R4" s="30">
        <v>15554</v>
      </c>
      <c r="S4" s="30">
        <v>15674</v>
      </c>
      <c r="T4" s="30">
        <v>16382</v>
      </c>
      <c r="V4" s="92">
        <v>16922</v>
      </c>
      <c r="W4" s="92">
        <v>17359</v>
      </c>
      <c r="X4" s="92">
        <v>17769</v>
      </c>
      <c r="Y4" s="92">
        <v>18092</v>
      </c>
      <c r="AA4" s="92">
        <v>18212</v>
      </c>
      <c r="AB4" s="92">
        <v>18459</v>
      </c>
      <c r="AC4" s="92">
        <v>18791</v>
      </c>
      <c r="AD4" s="352">
        <v>19162</v>
      </c>
    </row>
    <row r="5" spans="1:30" s="192" customFormat="1" ht="12" customHeight="1">
      <c r="A5" s="196" t="s">
        <v>93</v>
      </c>
      <c r="B5" s="197"/>
      <c r="C5" s="92">
        <v>490</v>
      </c>
      <c r="D5" s="198"/>
      <c r="E5" s="92">
        <v>541</v>
      </c>
      <c r="F5" s="199"/>
      <c r="G5" s="92">
        <v>563</v>
      </c>
      <c r="H5" s="200">
        <v>564</v>
      </c>
      <c r="I5" s="200">
        <v>601</v>
      </c>
      <c r="J5" s="193">
        <v>507</v>
      </c>
      <c r="K5" s="199"/>
      <c r="L5" s="92">
        <v>526</v>
      </c>
      <c r="M5" s="30">
        <v>531</v>
      </c>
      <c r="N5" s="30">
        <v>547</v>
      </c>
      <c r="O5" s="30">
        <v>507</v>
      </c>
      <c r="P5" s="139"/>
      <c r="Q5" s="92">
        <v>532</v>
      </c>
      <c r="R5" s="30">
        <v>550</v>
      </c>
      <c r="S5" s="30">
        <v>557</v>
      </c>
      <c r="T5" s="30">
        <v>576</v>
      </c>
      <c r="V5" s="92">
        <v>649</v>
      </c>
      <c r="W5" s="92">
        <v>616</v>
      </c>
      <c r="X5" s="92">
        <v>628</v>
      </c>
      <c r="Y5" s="92">
        <v>651</v>
      </c>
      <c r="AA5" s="92">
        <v>748</v>
      </c>
      <c r="AB5" s="92">
        <v>671</v>
      </c>
      <c r="AC5" s="92">
        <v>671</v>
      </c>
      <c r="AD5" s="353">
        <v>675</v>
      </c>
    </row>
    <row r="6" spans="1:30" s="192" customFormat="1" ht="12" customHeight="1">
      <c r="A6" s="201" t="s">
        <v>94</v>
      </c>
      <c r="B6" s="202"/>
      <c r="C6" s="92">
        <f>+C4+C5</f>
        <v>11825</v>
      </c>
      <c r="D6" s="198"/>
      <c r="E6" s="92">
        <f>+E4+E5</f>
        <v>13386</v>
      </c>
      <c r="F6" s="199"/>
      <c r="G6" s="92">
        <f>+G4+G5</f>
        <v>13782</v>
      </c>
      <c r="H6" s="200">
        <f>+H4+H5</f>
        <v>14166</v>
      </c>
      <c r="I6" s="200">
        <f>+I4+I5</f>
        <v>14494</v>
      </c>
      <c r="J6" s="193">
        <f>+J4+J5</f>
        <v>14886</v>
      </c>
      <c r="K6" s="199"/>
      <c r="L6" s="92">
        <f aca="true" t="shared" si="0" ref="L6:R6">+L4+L5</f>
        <v>15068</v>
      </c>
      <c r="M6" s="30">
        <f t="shared" si="0"/>
        <v>15207</v>
      </c>
      <c r="N6" s="30">
        <f t="shared" si="0"/>
        <v>15404</v>
      </c>
      <c r="O6" s="30">
        <f t="shared" si="0"/>
        <v>15862</v>
      </c>
      <c r="P6" s="139"/>
      <c r="Q6" s="92">
        <f t="shared" si="0"/>
        <v>15905</v>
      </c>
      <c r="R6" s="30">
        <f t="shared" si="0"/>
        <v>16104</v>
      </c>
      <c r="S6" s="30">
        <f>+S4+S5</f>
        <v>16231</v>
      </c>
      <c r="T6" s="30">
        <f>+T4+T5</f>
        <v>16958</v>
      </c>
      <c r="V6" s="92">
        <f>+V4+V5</f>
        <v>17571</v>
      </c>
      <c r="W6" s="92">
        <f>+W4+W5</f>
        <v>17975</v>
      </c>
      <c r="X6" s="92">
        <f>X4+X5</f>
        <v>18397</v>
      </c>
      <c r="Y6" s="92">
        <v>18743</v>
      </c>
      <c r="AA6" s="92">
        <v>18960</v>
      </c>
      <c r="AB6" s="92">
        <v>19130</v>
      </c>
      <c r="AC6" s="92">
        <v>19462</v>
      </c>
      <c r="AD6" s="354">
        <v>19837</v>
      </c>
    </row>
    <row r="7" spans="1:30" s="192" customFormat="1" ht="12" customHeight="1">
      <c r="A7" s="196" t="s">
        <v>95</v>
      </c>
      <c r="B7" s="197"/>
      <c r="C7" s="92">
        <v>227</v>
      </c>
      <c r="D7" s="198"/>
      <c r="E7" s="92">
        <v>233</v>
      </c>
      <c r="F7" s="199"/>
      <c r="G7" s="92">
        <v>228</v>
      </c>
      <c r="H7" s="200">
        <v>225</v>
      </c>
      <c r="I7" s="200">
        <v>226</v>
      </c>
      <c r="J7" s="193">
        <v>77</v>
      </c>
      <c r="K7" s="199"/>
      <c r="L7" s="92">
        <v>72</v>
      </c>
      <c r="M7" s="30">
        <v>69</v>
      </c>
      <c r="N7" s="30">
        <v>67</v>
      </c>
      <c r="O7" s="30">
        <v>75</v>
      </c>
      <c r="P7" s="139"/>
      <c r="Q7" s="92">
        <v>71</v>
      </c>
      <c r="R7" s="30">
        <v>69</v>
      </c>
      <c r="S7" s="30">
        <v>71</v>
      </c>
      <c r="T7" s="30">
        <v>92</v>
      </c>
      <c r="V7" s="92">
        <v>90</v>
      </c>
      <c r="W7" s="92">
        <v>89</v>
      </c>
      <c r="X7" s="92">
        <v>89</v>
      </c>
      <c r="Y7" s="92">
        <v>103</v>
      </c>
      <c r="AA7" s="92">
        <v>99</v>
      </c>
      <c r="AB7" s="92">
        <v>99</v>
      </c>
      <c r="AC7" s="92">
        <v>96</v>
      </c>
      <c r="AD7" s="354">
        <v>102</v>
      </c>
    </row>
    <row r="8" spans="1:30" s="192" customFormat="1" ht="12" customHeight="1">
      <c r="A8" s="196" t="s">
        <v>96</v>
      </c>
      <c r="B8" s="197"/>
      <c r="C8" s="92">
        <v>21</v>
      </c>
      <c r="D8" s="198"/>
      <c r="E8" s="92">
        <v>24</v>
      </c>
      <c r="F8" s="199"/>
      <c r="G8" s="92">
        <v>22</v>
      </c>
      <c r="H8" s="200">
        <v>22</v>
      </c>
      <c r="I8" s="200">
        <v>20</v>
      </c>
      <c r="J8" s="193">
        <v>24</v>
      </c>
      <c r="K8" s="199"/>
      <c r="L8" s="92">
        <v>23</v>
      </c>
      <c r="M8" s="30">
        <v>22</v>
      </c>
      <c r="N8" s="30">
        <v>22</v>
      </c>
      <c r="O8" s="30">
        <v>34</v>
      </c>
      <c r="P8" s="139"/>
      <c r="Q8" s="92">
        <v>32</v>
      </c>
      <c r="R8" s="30">
        <v>34</v>
      </c>
      <c r="S8" s="30">
        <v>34</v>
      </c>
      <c r="T8" s="30">
        <v>52</v>
      </c>
      <c r="V8" s="92">
        <v>50</v>
      </c>
      <c r="W8" s="92">
        <v>48</v>
      </c>
      <c r="X8" s="92">
        <v>47</v>
      </c>
      <c r="Y8" s="92">
        <v>61</v>
      </c>
      <c r="AA8" s="92">
        <v>60</v>
      </c>
      <c r="AB8" s="92">
        <v>58</v>
      </c>
      <c r="AC8" s="92">
        <v>57</v>
      </c>
      <c r="AD8" s="352">
        <v>65</v>
      </c>
    </row>
    <row r="9" spans="1:30" s="192" customFormat="1" ht="12" customHeight="1">
      <c r="A9" s="201" t="s">
        <v>133</v>
      </c>
      <c r="B9" s="202"/>
      <c r="C9" s="92">
        <f>+C7+C8</f>
        <v>248</v>
      </c>
      <c r="D9" s="198"/>
      <c r="E9" s="92">
        <f>+E7+E8</f>
        <v>257</v>
      </c>
      <c r="F9" s="199"/>
      <c r="G9" s="92">
        <f>+G7+G8</f>
        <v>250</v>
      </c>
      <c r="H9" s="200">
        <f>+H7+H8</f>
        <v>247</v>
      </c>
      <c r="I9" s="200">
        <f>+I7+I8</f>
        <v>246</v>
      </c>
      <c r="J9" s="193">
        <f>+J7+J8</f>
        <v>101</v>
      </c>
      <c r="K9" s="199"/>
      <c r="L9" s="92">
        <f aca="true" t="shared" si="1" ref="L9:R9">+L7+L8</f>
        <v>95</v>
      </c>
      <c r="M9" s="30">
        <f t="shared" si="1"/>
        <v>91</v>
      </c>
      <c r="N9" s="30">
        <f t="shared" si="1"/>
        <v>89</v>
      </c>
      <c r="O9" s="30">
        <f t="shared" si="1"/>
        <v>109</v>
      </c>
      <c r="P9" s="139"/>
      <c r="Q9" s="92">
        <f t="shared" si="1"/>
        <v>103</v>
      </c>
      <c r="R9" s="30">
        <f t="shared" si="1"/>
        <v>103</v>
      </c>
      <c r="S9" s="30">
        <f>+S7+S8</f>
        <v>105</v>
      </c>
      <c r="T9" s="30">
        <f>+T7+T8</f>
        <v>144</v>
      </c>
      <c r="V9" s="92">
        <f>+V7+V8</f>
        <v>140</v>
      </c>
      <c r="W9" s="92">
        <f>+W7+W8</f>
        <v>137</v>
      </c>
      <c r="X9" s="92">
        <f>X7+X8</f>
        <v>136</v>
      </c>
      <c r="Y9" s="92">
        <v>164</v>
      </c>
      <c r="AA9" s="92">
        <v>159</v>
      </c>
      <c r="AB9" s="92">
        <v>157</v>
      </c>
      <c r="AC9" s="92">
        <v>153</v>
      </c>
      <c r="AD9" s="353">
        <v>167</v>
      </c>
    </row>
    <row r="10" spans="1:30" s="192" customFormat="1" ht="12" customHeight="1">
      <c r="A10" s="201" t="s">
        <v>134</v>
      </c>
      <c r="B10" s="202"/>
      <c r="C10" s="92">
        <v>11778</v>
      </c>
      <c r="D10" s="198"/>
      <c r="E10" s="92">
        <v>6858</v>
      </c>
      <c r="F10" s="199"/>
      <c r="G10" s="92">
        <v>6859</v>
      </c>
      <c r="H10" s="200">
        <v>6863</v>
      </c>
      <c r="I10" s="200">
        <v>6858</v>
      </c>
      <c r="J10" s="193">
        <v>2002</v>
      </c>
      <c r="K10" s="199"/>
      <c r="L10" s="92">
        <v>2002</v>
      </c>
      <c r="M10" s="30">
        <v>3370</v>
      </c>
      <c r="N10" s="30">
        <v>3361</v>
      </c>
      <c r="O10" s="30">
        <v>3013</v>
      </c>
      <c r="P10" s="139"/>
      <c r="Q10" s="92">
        <v>3013</v>
      </c>
      <c r="R10" s="30">
        <v>3013</v>
      </c>
      <c r="S10" s="30">
        <v>3020</v>
      </c>
      <c r="T10" s="30">
        <v>3510</v>
      </c>
      <c r="V10" s="92">
        <v>3377</v>
      </c>
      <c r="W10" s="92">
        <v>3415</v>
      </c>
      <c r="X10" s="92">
        <v>3405</v>
      </c>
      <c r="Y10" s="92">
        <v>2946</v>
      </c>
      <c r="AA10" s="92">
        <v>2908</v>
      </c>
      <c r="AB10" s="92">
        <v>2823</v>
      </c>
      <c r="AC10" s="92">
        <v>2844</v>
      </c>
      <c r="AD10" s="354">
        <v>2848</v>
      </c>
    </row>
    <row r="11" spans="1:30" s="192" customFormat="1" ht="12" customHeight="1">
      <c r="A11" s="196" t="s">
        <v>135</v>
      </c>
      <c r="B11" s="197"/>
      <c r="C11" s="92">
        <v>2042</v>
      </c>
      <c r="D11" s="198"/>
      <c r="E11" s="92">
        <v>6750</v>
      </c>
      <c r="F11" s="199"/>
      <c r="G11" s="92">
        <v>6766</v>
      </c>
      <c r="H11" s="200">
        <v>7375</v>
      </c>
      <c r="I11" s="200">
        <v>7362</v>
      </c>
      <c r="J11" s="193">
        <v>7310</v>
      </c>
      <c r="K11" s="199"/>
      <c r="L11" s="92">
        <v>6996</v>
      </c>
      <c r="M11" s="30">
        <v>5511</v>
      </c>
      <c r="N11" s="30">
        <v>5505</v>
      </c>
      <c r="O11" s="30">
        <v>4972</v>
      </c>
      <c r="P11" s="139"/>
      <c r="Q11" s="92">
        <v>4780</v>
      </c>
      <c r="R11" s="30">
        <v>5580</v>
      </c>
      <c r="S11" s="30">
        <v>5559</v>
      </c>
      <c r="T11" s="30">
        <v>6262</v>
      </c>
      <c r="V11" s="92">
        <v>6623</v>
      </c>
      <c r="W11" s="92">
        <v>6641</v>
      </c>
      <c r="X11" s="92">
        <v>7273</v>
      </c>
      <c r="Y11" s="92">
        <v>7217</v>
      </c>
      <c r="AA11" s="92">
        <v>7886</v>
      </c>
      <c r="AB11" s="92">
        <v>7871</v>
      </c>
      <c r="AC11" s="92">
        <v>7750</v>
      </c>
      <c r="AD11" s="352">
        <v>7648</v>
      </c>
    </row>
    <row r="12" spans="1:30" s="192" customFormat="1" ht="12" customHeight="1">
      <c r="A12" s="196" t="s">
        <v>101</v>
      </c>
      <c r="B12" s="197"/>
      <c r="C12" s="92">
        <v>190</v>
      </c>
      <c r="D12" s="198"/>
      <c r="E12" s="92">
        <v>117</v>
      </c>
      <c r="F12" s="199"/>
      <c r="G12" s="92">
        <v>132</v>
      </c>
      <c r="H12" s="200">
        <v>67</v>
      </c>
      <c r="I12" s="200">
        <v>57</v>
      </c>
      <c r="J12" s="193">
        <v>237</v>
      </c>
      <c r="K12" s="199"/>
      <c r="L12" s="92">
        <v>162</v>
      </c>
      <c r="M12" s="30">
        <v>137</v>
      </c>
      <c r="N12" s="30">
        <v>182</v>
      </c>
      <c r="O12" s="30">
        <v>109</v>
      </c>
      <c r="P12" s="139"/>
      <c r="Q12" s="92">
        <v>212</v>
      </c>
      <c r="R12" s="30">
        <v>328</v>
      </c>
      <c r="S12" s="30">
        <v>398</v>
      </c>
      <c r="T12" s="30">
        <v>319</v>
      </c>
      <c r="V12" s="92">
        <v>249</v>
      </c>
      <c r="W12" s="92">
        <v>257</v>
      </c>
      <c r="X12" s="92">
        <v>162</v>
      </c>
      <c r="Y12" s="92">
        <v>123</v>
      </c>
      <c r="AA12" s="92">
        <v>24</v>
      </c>
      <c r="AB12" s="92">
        <v>242</v>
      </c>
      <c r="AC12" s="92">
        <v>863</v>
      </c>
      <c r="AD12" s="353">
        <v>789</v>
      </c>
    </row>
    <row r="13" spans="1:30" s="192" customFormat="1" ht="12" customHeight="1">
      <c r="A13" s="196" t="s">
        <v>136</v>
      </c>
      <c r="B13" s="197"/>
      <c r="C13" s="92">
        <v>931</v>
      </c>
      <c r="D13" s="198"/>
      <c r="E13" s="92">
        <v>579</v>
      </c>
      <c r="F13" s="199"/>
      <c r="G13" s="92">
        <v>602</v>
      </c>
      <c r="H13" s="200">
        <v>571</v>
      </c>
      <c r="I13" s="200">
        <v>527</v>
      </c>
      <c r="J13" s="193">
        <v>576</v>
      </c>
      <c r="K13" s="199"/>
      <c r="L13" s="92">
        <v>676</v>
      </c>
      <c r="M13" s="30">
        <v>712</v>
      </c>
      <c r="N13" s="30">
        <v>741</v>
      </c>
      <c r="O13" s="30">
        <v>613</v>
      </c>
      <c r="P13" s="139"/>
      <c r="Q13" s="92">
        <v>534</v>
      </c>
      <c r="R13" s="30">
        <v>508</v>
      </c>
      <c r="S13" s="30">
        <v>419</v>
      </c>
      <c r="T13" s="30">
        <v>496</v>
      </c>
      <c r="V13" s="92">
        <v>466</v>
      </c>
      <c r="W13" s="92">
        <v>409</v>
      </c>
      <c r="X13" s="92">
        <v>379</v>
      </c>
      <c r="Y13" s="92">
        <v>403</v>
      </c>
      <c r="AA13" s="92">
        <v>307</v>
      </c>
      <c r="AB13" s="92">
        <v>534</v>
      </c>
      <c r="AC13" s="92">
        <v>489</v>
      </c>
      <c r="AD13" s="354">
        <v>589</v>
      </c>
    </row>
    <row r="14" spans="1:30" s="192" customFormat="1" ht="12" customHeight="1">
      <c r="A14" s="196" t="s">
        <v>102</v>
      </c>
      <c r="B14" s="197"/>
      <c r="C14" s="92">
        <v>266</v>
      </c>
      <c r="D14" s="198"/>
      <c r="E14" s="92">
        <v>291</v>
      </c>
      <c r="F14" s="199"/>
      <c r="G14" s="92">
        <v>317</v>
      </c>
      <c r="H14" s="200">
        <v>318</v>
      </c>
      <c r="I14" s="200">
        <v>319</v>
      </c>
      <c r="J14" s="193">
        <v>320</v>
      </c>
      <c r="K14" s="199"/>
      <c r="L14" s="92">
        <v>346</v>
      </c>
      <c r="M14" s="30">
        <v>346</v>
      </c>
      <c r="N14" s="30">
        <v>348</v>
      </c>
      <c r="O14" s="30">
        <v>337</v>
      </c>
      <c r="P14" s="139"/>
      <c r="Q14" s="92">
        <v>375</v>
      </c>
      <c r="R14" s="30">
        <v>365</v>
      </c>
      <c r="S14" s="30">
        <v>366</v>
      </c>
      <c r="T14" s="30">
        <v>376</v>
      </c>
      <c r="V14" s="92">
        <v>430</v>
      </c>
      <c r="W14" s="92">
        <v>402</v>
      </c>
      <c r="X14" s="92">
        <v>404</v>
      </c>
      <c r="Y14" s="92">
        <v>457</v>
      </c>
      <c r="AA14" s="92">
        <v>426</v>
      </c>
      <c r="AB14" s="92">
        <v>486</v>
      </c>
      <c r="AC14" s="92">
        <v>479</v>
      </c>
      <c r="AD14" s="354">
        <v>433</v>
      </c>
    </row>
    <row r="15" spans="1:30" s="192" customFormat="1" ht="12" customHeight="1">
      <c r="A15" s="201" t="s">
        <v>103</v>
      </c>
      <c r="B15" s="202"/>
      <c r="C15" s="92">
        <f>+C12+C13+C14+C11</f>
        <v>3429</v>
      </c>
      <c r="D15" s="198"/>
      <c r="E15" s="92">
        <f>+E12+E13+E14+E11</f>
        <v>7737</v>
      </c>
      <c r="F15" s="199"/>
      <c r="G15" s="92">
        <f>+G12+G13+G14+G11</f>
        <v>7817</v>
      </c>
      <c r="H15" s="200">
        <f>+H12+H13+H14+H11</f>
        <v>8331</v>
      </c>
      <c r="I15" s="200">
        <f>+I12+I13+I14+I11</f>
        <v>8265</v>
      </c>
      <c r="J15" s="193">
        <f>+J12+J13+J14+J11</f>
        <v>8443</v>
      </c>
      <c r="K15" s="199"/>
      <c r="L15" s="92">
        <f aca="true" t="shared" si="2" ref="L15:R15">+L12+L13+L14+L11</f>
        <v>8180</v>
      </c>
      <c r="M15" s="30">
        <f t="shared" si="2"/>
        <v>6706</v>
      </c>
      <c r="N15" s="30">
        <f t="shared" si="2"/>
        <v>6776</v>
      </c>
      <c r="O15" s="30">
        <f t="shared" si="2"/>
        <v>6031</v>
      </c>
      <c r="P15" s="139"/>
      <c r="Q15" s="92">
        <f t="shared" si="2"/>
        <v>5901</v>
      </c>
      <c r="R15" s="30">
        <f t="shared" si="2"/>
        <v>6781</v>
      </c>
      <c r="S15" s="30">
        <f>+S12+S13+S14+S11</f>
        <v>6742</v>
      </c>
      <c r="T15" s="30">
        <f>+T12+T13+T14+T11</f>
        <v>7453</v>
      </c>
      <c r="V15" s="92">
        <f>+V12+V13+V14+V11</f>
        <v>7768</v>
      </c>
      <c r="W15" s="92">
        <f>+W11+W12+W13+W14</f>
        <v>7709</v>
      </c>
      <c r="X15" s="92">
        <f>X11+X12+X13+X14</f>
        <v>8218</v>
      </c>
      <c r="Y15" s="92">
        <v>8200</v>
      </c>
      <c r="AA15" s="92">
        <v>8643</v>
      </c>
      <c r="AB15" s="92">
        <v>9133</v>
      </c>
      <c r="AC15" s="92">
        <f>+AC11+AC12+AC13+AC14</f>
        <v>9581</v>
      </c>
      <c r="AD15" s="352">
        <v>9459</v>
      </c>
    </row>
    <row r="16" spans="1:30" s="192" customFormat="1" ht="12" customHeight="1">
      <c r="A16" s="201" t="s">
        <v>104</v>
      </c>
      <c r="B16" s="202"/>
      <c r="C16" s="92">
        <v>111</v>
      </c>
      <c r="D16" s="198"/>
      <c r="E16" s="92">
        <v>141</v>
      </c>
      <c r="F16" s="199"/>
      <c r="G16" s="92">
        <v>145</v>
      </c>
      <c r="H16" s="200">
        <v>197</v>
      </c>
      <c r="I16" s="200">
        <v>108</v>
      </c>
      <c r="J16" s="193">
        <v>140</v>
      </c>
      <c r="K16" s="199"/>
      <c r="L16" s="92">
        <v>129</v>
      </c>
      <c r="M16" s="30">
        <v>57</v>
      </c>
      <c r="N16" s="30">
        <v>30</v>
      </c>
      <c r="O16" s="30">
        <v>31</v>
      </c>
      <c r="P16" s="139"/>
      <c r="Q16" s="92">
        <v>110</v>
      </c>
      <c r="R16" s="30">
        <v>140</v>
      </c>
      <c r="S16" s="30">
        <v>94</v>
      </c>
      <c r="T16" s="30">
        <v>9</v>
      </c>
      <c r="V16" s="92">
        <v>93</v>
      </c>
      <c r="W16" s="92">
        <v>0</v>
      </c>
      <c r="X16" s="92">
        <v>12</v>
      </c>
      <c r="Y16" s="92">
        <v>0</v>
      </c>
      <c r="AA16" s="92">
        <v>8</v>
      </c>
      <c r="AB16" s="92">
        <v>0</v>
      </c>
      <c r="AC16" s="92">
        <v>0</v>
      </c>
      <c r="AD16" s="353">
        <v>0</v>
      </c>
    </row>
    <row r="17" spans="1:30" s="192" customFormat="1" ht="12" customHeight="1">
      <c r="A17" s="201" t="s">
        <v>137</v>
      </c>
      <c r="B17" s="202"/>
      <c r="C17" s="92">
        <v>48</v>
      </c>
      <c r="D17" s="198"/>
      <c r="E17" s="92">
        <v>27</v>
      </c>
      <c r="F17" s="199"/>
      <c r="G17" s="92">
        <v>19</v>
      </c>
      <c r="H17" s="200">
        <v>20</v>
      </c>
      <c r="I17" s="200">
        <v>23</v>
      </c>
      <c r="J17" s="193">
        <v>22</v>
      </c>
      <c r="K17" s="199"/>
      <c r="L17" s="92">
        <v>25</v>
      </c>
      <c r="M17" s="30">
        <v>27</v>
      </c>
      <c r="N17" s="30">
        <v>24</v>
      </c>
      <c r="O17" s="30">
        <v>25</v>
      </c>
      <c r="P17" s="139"/>
      <c r="Q17" s="92">
        <v>24</v>
      </c>
      <c r="R17" s="30">
        <v>22</v>
      </c>
      <c r="S17" s="30">
        <v>35</v>
      </c>
      <c r="T17" s="30">
        <v>24</v>
      </c>
      <c r="V17" s="92">
        <v>28</v>
      </c>
      <c r="W17" s="92">
        <v>27</v>
      </c>
      <c r="X17" s="92">
        <v>34</v>
      </c>
      <c r="Y17" s="92">
        <v>58</v>
      </c>
      <c r="AA17" s="92">
        <v>59</v>
      </c>
      <c r="AB17" s="92">
        <v>60</v>
      </c>
      <c r="AC17" s="92">
        <v>64</v>
      </c>
      <c r="AD17" s="354">
        <v>56</v>
      </c>
    </row>
    <row r="18" spans="1:30" s="192" customFormat="1" ht="12" customHeight="1">
      <c r="A18" s="189" t="s">
        <v>106</v>
      </c>
      <c r="B18" s="188"/>
      <c r="C18" s="88">
        <f>+C6+C9+C10+C12+C13+C14+C16+C17+C11</f>
        <v>27439</v>
      </c>
      <c r="D18" s="203"/>
      <c r="E18" s="88">
        <f>+E6+E9+E10+E12+E13+E14+E16+E17+E11</f>
        <v>28406</v>
      </c>
      <c r="F18" s="204"/>
      <c r="G18" s="88">
        <f>+G6+G9+G10+G12+G13+G14+G16+G17+G11</f>
        <v>28872</v>
      </c>
      <c r="H18" s="205">
        <f>+H6+H9+H10+H12+H13+H14+H16+H17+H11</f>
        <v>29824</v>
      </c>
      <c r="I18" s="205">
        <f>+I6+I9+I10+I12+I13+I14+I16+I17+I11</f>
        <v>29994</v>
      </c>
      <c r="J18" s="206">
        <f>+J6+J9+J10+J12+J13+J14+J16+J17+J11</f>
        <v>25594</v>
      </c>
      <c r="K18" s="204"/>
      <c r="L18" s="88">
        <f aca="true" t="shared" si="3" ref="L18:T18">+L6+L9+L10+L12+L13+L14+L16+L17+L11</f>
        <v>25499</v>
      </c>
      <c r="M18" s="25">
        <f t="shared" si="3"/>
        <v>25458</v>
      </c>
      <c r="N18" s="25">
        <f t="shared" si="3"/>
        <v>25684</v>
      </c>
      <c r="O18" s="25">
        <f t="shared" si="3"/>
        <v>25071</v>
      </c>
      <c r="P18" s="138"/>
      <c r="Q18" s="88">
        <f t="shared" si="3"/>
        <v>25056</v>
      </c>
      <c r="R18" s="25">
        <f t="shared" si="3"/>
        <v>26163</v>
      </c>
      <c r="S18" s="25">
        <f t="shared" si="3"/>
        <v>26227</v>
      </c>
      <c r="T18" s="25">
        <f t="shared" si="3"/>
        <v>28098</v>
      </c>
      <c r="V18" s="88">
        <f>+V6+V9+V10+V12+V13+V14+V16+V17+V11</f>
        <v>28977</v>
      </c>
      <c r="W18" s="88">
        <f>+W6+W9+W10+W12+W13+W14+W16+W17+W11</f>
        <v>29263</v>
      </c>
      <c r="X18" s="88">
        <f>X6+X9+X10+X15+X16+X17</f>
        <v>30202</v>
      </c>
      <c r="Y18" s="88">
        <v>30111</v>
      </c>
      <c r="AA18" s="88">
        <v>30737</v>
      </c>
      <c r="AB18" s="88">
        <v>31303</v>
      </c>
      <c r="AC18" s="88">
        <f>+AC6+AC9+AC10+AC15+AC17</f>
        <v>32104</v>
      </c>
      <c r="AD18" s="355">
        <f>AD6+AD9+AD10+AD15+AD16+AD17</f>
        <v>32367</v>
      </c>
    </row>
    <row r="19" spans="1:30" s="192" customFormat="1" ht="12" customHeight="1">
      <c r="A19" s="201" t="s">
        <v>107</v>
      </c>
      <c r="B19" s="202"/>
      <c r="C19" s="92">
        <v>2377</v>
      </c>
      <c r="D19" s="198"/>
      <c r="E19" s="92">
        <v>2601</v>
      </c>
      <c r="F19" s="199"/>
      <c r="G19" s="92">
        <v>3156</v>
      </c>
      <c r="H19" s="200">
        <v>3261</v>
      </c>
      <c r="I19" s="200">
        <v>3408</v>
      </c>
      <c r="J19" s="193">
        <v>2726</v>
      </c>
      <c r="K19" s="199"/>
      <c r="L19" s="92">
        <v>3472</v>
      </c>
      <c r="M19" s="30">
        <v>3783</v>
      </c>
      <c r="N19" s="30">
        <v>4154</v>
      </c>
      <c r="O19" s="30">
        <v>3857</v>
      </c>
      <c r="P19" s="139"/>
      <c r="Q19" s="92">
        <v>4651</v>
      </c>
      <c r="R19" s="30">
        <v>4627</v>
      </c>
      <c r="S19" s="30">
        <v>4588</v>
      </c>
      <c r="T19" s="30">
        <v>4102</v>
      </c>
      <c r="V19" s="92">
        <v>4484</v>
      </c>
      <c r="W19" s="92">
        <v>4362</v>
      </c>
      <c r="X19" s="92">
        <v>4329</v>
      </c>
      <c r="Y19" s="92">
        <v>3783</v>
      </c>
      <c r="AA19" s="92">
        <v>3996</v>
      </c>
      <c r="AB19" s="92">
        <v>3624</v>
      </c>
      <c r="AC19" s="92">
        <v>3910</v>
      </c>
      <c r="AD19" s="353">
        <v>3555</v>
      </c>
    </row>
    <row r="20" spans="1:30" s="192" customFormat="1" ht="12" customHeight="1">
      <c r="A20" s="201" t="s">
        <v>108</v>
      </c>
      <c r="B20" s="202"/>
      <c r="C20" s="92">
        <v>1407</v>
      </c>
      <c r="D20" s="198"/>
      <c r="E20" s="92">
        <v>1000</v>
      </c>
      <c r="F20" s="199"/>
      <c r="G20" s="92">
        <v>511</v>
      </c>
      <c r="H20" s="200">
        <v>629</v>
      </c>
      <c r="I20" s="200">
        <v>450</v>
      </c>
      <c r="J20" s="193">
        <v>676</v>
      </c>
      <c r="K20" s="199"/>
      <c r="L20" s="92">
        <v>750</v>
      </c>
      <c r="M20" s="30">
        <v>665</v>
      </c>
      <c r="N20" s="30">
        <v>700</v>
      </c>
      <c r="O20" s="30">
        <v>1034</v>
      </c>
      <c r="P20" s="139"/>
      <c r="Q20" s="92">
        <v>730</v>
      </c>
      <c r="R20" s="30">
        <v>683</v>
      </c>
      <c r="S20" s="30">
        <v>782</v>
      </c>
      <c r="T20" s="30">
        <v>310</v>
      </c>
      <c r="V20" s="92">
        <v>540</v>
      </c>
      <c r="W20" s="92">
        <v>206</v>
      </c>
      <c r="X20" s="92">
        <v>242</v>
      </c>
      <c r="Y20" s="92">
        <v>243</v>
      </c>
      <c r="AA20" s="92">
        <v>153</v>
      </c>
      <c r="AB20" s="92">
        <v>334</v>
      </c>
      <c r="AC20" s="92">
        <v>406</v>
      </c>
      <c r="AD20" s="354">
        <v>351</v>
      </c>
    </row>
    <row r="21" spans="1:30" s="192" customFormat="1" ht="12" customHeight="1">
      <c r="A21" s="201" t="s">
        <v>109</v>
      </c>
      <c r="B21" s="202"/>
      <c r="C21" s="92">
        <v>312</v>
      </c>
      <c r="D21" s="198"/>
      <c r="E21" s="92">
        <v>412</v>
      </c>
      <c r="F21" s="199"/>
      <c r="G21" s="92">
        <v>264</v>
      </c>
      <c r="H21" s="200">
        <v>256</v>
      </c>
      <c r="I21" s="200">
        <v>204</v>
      </c>
      <c r="J21" s="193">
        <v>188</v>
      </c>
      <c r="K21" s="199"/>
      <c r="L21" s="92">
        <v>148</v>
      </c>
      <c r="M21" s="30">
        <v>166</v>
      </c>
      <c r="N21" s="30">
        <v>162</v>
      </c>
      <c r="O21" s="30">
        <v>214</v>
      </c>
      <c r="P21" s="139"/>
      <c r="Q21" s="92">
        <v>160</v>
      </c>
      <c r="R21" s="30">
        <v>166</v>
      </c>
      <c r="S21" s="30">
        <v>167</v>
      </c>
      <c r="T21" s="30">
        <v>275</v>
      </c>
      <c r="V21" s="92">
        <v>171</v>
      </c>
      <c r="W21" s="92">
        <v>222</v>
      </c>
      <c r="X21" s="92">
        <v>336</v>
      </c>
      <c r="Y21" s="92">
        <v>435</v>
      </c>
      <c r="AA21" s="92">
        <v>355</v>
      </c>
      <c r="AB21" s="92">
        <v>343</v>
      </c>
      <c r="AC21" s="92">
        <v>282</v>
      </c>
      <c r="AD21" s="354">
        <v>217</v>
      </c>
    </row>
    <row r="22" spans="1:30" s="192" customFormat="1" ht="12" customHeight="1">
      <c r="A22" s="201" t="s">
        <v>101</v>
      </c>
      <c r="B22" s="202"/>
      <c r="C22" s="92">
        <v>267</v>
      </c>
      <c r="D22" s="198"/>
      <c r="E22" s="92">
        <v>6</v>
      </c>
      <c r="F22" s="199"/>
      <c r="G22" s="92">
        <v>80</v>
      </c>
      <c r="H22" s="200">
        <v>33</v>
      </c>
      <c r="I22" s="200">
        <v>56</v>
      </c>
      <c r="J22" s="193">
        <v>72</v>
      </c>
      <c r="K22" s="199"/>
      <c r="L22" s="92">
        <v>76</v>
      </c>
      <c r="M22" s="30">
        <v>99</v>
      </c>
      <c r="N22" s="30">
        <v>109</v>
      </c>
      <c r="O22" s="30">
        <v>195</v>
      </c>
      <c r="P22" s="139"/>
      <c r="Q22" s="92">
        <v>263</v>
      </c>
      <c r="R22" s="30">
        <v>158</v>
      </c>
      <c r="S22" s="30">
        <v>243</v>
      </c>
      <c r="T22" s="30">
        <v>300</v>
      </c>
      <c r="V22" s="92">
        <v>139</v>
      </c>
      <c r="W22" s="92">
        <v>323</v>
      </c>
      <c r="X22" s="92">
        <v>363</v>
      </c>
      <c r="Y22" s="92">
        <v>291</v>
      </c>
      <c r="AA22" s="92">
        <v>892</v>
      </c>
      <c r="AB22" s="92">
        <v>222</v>
      </c>
      <c r="AC22" s="92">
        <v>269</v>
      </c>
      <c r="AD22" s="352">
        <v>210</v>
      </c>
    </row>
    <row r="23" spans="1:30" s="192" customFormat="1" ht="12" customHeight="1">
      <c r="A23" s="201" t="s">
        <v>110</v>
      </c>
      <c r="B23" s="202"/>
      <c r="C23" s="92">
        <v>425</v>
      </c>
      <c r="D23" s="198"/>
      <c r="E23" s="92">
        <v>537</v>
      </c>
      <c r="F23" s="199"/>
      <c r="G23" s="92">
        <v>680</v>
      </c>
      <c r="H23" s="200">
        <v>618</v>
      </c>
      <c r="I23" s="200">
        <v>595</v>
      </c>
      <c r="J23" s="193">
        <v>362</v>
      </c>
      <c r="K23" s="199"/>
      <c r="L23" s="92">
        <v>258</v>
      </c>
      <c r="M23" s="30">
        <v>439</v>
      </c>
      <c r="N23" s="30">
        <v>399</v>
      </c>
      <c r="O23" s="30">
        <v>342</v>
      </c>
      <c r="P23" s="139"/>
      <c r="Q23" s="92">
        <v>405</v>
      </c>
      <c r="R23" s="30">
        <v>693</v>
      </c>
      <c r="S23" s="30">
        <f>476+93</f>
        <v>569</v>
      </c>
      <c r="T23" s="30">
        <v>538</v>
      </c>
      <c r="V23" s="92">
        <v>623</v>
      </c>
      <c r="W23" s="92">
        <f>751+194</f>
        <v>945</v>
      </c>
      <c r="X23" s="92">
        <f>853+126</f>
        <v>979</v>
      </c>
      <c r="Y23" s="92">
        <v>610</v>
      </c>
      <c r="AA23" s="92">
        <v>865</v>
      </c>
      <c r="AB23" s="92">
        <f>265+295+192</f>
        <v>752</v>
      </c>
      <c r="AC23" s="92">
        <v>523</v>
      </c>
      <c r="AD23" s="353">
        <f>128+268+66+45</f>
        <v>507</v>
      </c>
    </row>
    <row r="24" spans="1:30" s="192" customFormat="1" ht="12" customHeight="1">
      <c r="A24" s="201" t="s">
        <v>111</v>
      </c>
      <c r="B24" s="202"/>
      <c r="C24" s="92">
        <v>85</v>
      </c>
      <c r="D24" s="198"/>
      <c r="E24" s="92">
        <v>158</v>
      </c>
      <c r="F24" s="199"/>
      <c r="G24" s="92">
        <v>261</v>
      </c>
      <c r="H24" s="200">
        <v>392</v>
      </c>
      <c r="I24" s="200">
        <v>359</v>
      </c>
      <c r="J24" s="193">
        <v>482</v>
      </c>
      <c r="K24" s="199"/>
      <c r="L24" s="92">
        <v>345</v>
      </c>
      <c r="M24" s="30">
        <v>118</v>
      </c>
      <c r="N24" s="30">
        <v>124</v>
      </c>
      <c r="O24" s="30">
        <v>234</v>
      </c>
      <c r="P24" s="139"/>
      <c r="Q24" s="92">
        <v>215</v>
      </c>
      <c r="R24" s="30">
        <v>249</v>
      </c>
      <c r="S24" s="30">
        <v>429</v>
      </c>
      <c r="T24" s="30">
        <v>627</v>
      </c>
      <c r="V24" s="92">
        <v>327</v>
      </c>
      <c r="W24" s="92">
        <v>726</v>
      </c>
      <c r="X24" s="92">
        <v>337</v>
      </c>
      <c r="Y24" s="92">
        <v>516</v>
      </c>
      <c r="AA24" s="92">
        <v>1899</v>
      </c>
      <c r="AB24" s="92">
        <v>1707</v>
      </c>
      <c r="AC24" s="92">
        <v>781</v>
      </c>
      <c r="AD24" s="354">
        <v>2135</v>
      </c>
    </row>
    <row r="25" spans="1:30" s="192" customFormat="1" ht="12" customHeight="1">
      <c r="A25" s="189" t="s">
        <v>112</v>
      </c>
      <c r="B25" s="188"/>
      <c r="C25" s="88">
        <f>+C19+C20+C21+C22+C23+C24</f>
        <v>4873</v>
      </c>
      <c r="D25" s="203"/>
      <c r="E25" s="88">
        <f>+E19+E20+E21+E22+E23+E24</f>
        <v>4714</v>
      </c>
      <c r="F25" s="204"/>
      <c r="G25" s="88">
        <f>+G19+G20+G21+G22+G23+G24</f>
        <v>4952</v>
      </c>
      <c r="H25" s="205">
        <f>+H19+H20+H21+H22+H23+H24</f>
        <v>5189</v>
      </c>
      <c r="I25" s="205">
        <f>+I19+I20+I21+I22+I23+I24</f>
        <v>5072</v>
      </c>
      <c r="J25" s="206">
        <f>+J19+J20+J21+J22+J23+J24</f>
        <v>4506</v>
      </c>
      <c r="K25" s="204"/>
      <c r="L25" s="88">
        <f aca="true" t="shared" si="4" ref="L25:R25">+L19+L20+L21+L22+L23+L24</f>
        <v>5049</v>
      </c>
      <c r="M25" s="25">
        <f t="shared" si="4"/>
        <v>5270</v>
      </c>
      <c r="N25" s="25">
        <f t="shared" si="4"/>
        <v>5648</v>
      </c>
      <c r="O25" s="25">
        <f t="shared" si="4"/>
        <v>5876</v>
      </c>
      <c r="P25" s="138"/>
      <c r="Q25" s="88">
        <f t="shared" si="4"/>
        <v>6424</v>
      </c>
      <c r="R25" s="25">
        <f t="shared" si="4"/>
        <v>6576</v>
      </c>
      <c r="S25" s="25">
        <f>+S19+S20+S21+S22+S23+S24</f>
        <v>6778</v>
      </c>
      <c r="T25" s="25">
        <f>+T19+T20+T21+T22+T23+T24</f>
        <v>6152</v>
      </c>
      <c r="V25" s="88">
        <f>+V19+V20+V21+V22+V23+V24</f>
        <v>6284</v>
      </c>
      <c r="W25" s="88">
        <f>+W19+W20+W21+W22+W23+W24</f>
        <v>6784</v>
      </c>
      <c r="X25" s="88">
        <f>X19+X20+X21+X22+X23+X24</f>
        <v>6586</v>
      </c>
      <c r="Y25" s="88">
        <v>5878</v>
      </c>
      <c r="AA25" s="88">
        <v>8160</v>
      </c>
      <c r="AB25" s="88">
        <v>6982</v>
      </c>
      <c r="AC25" s="88">
        <f>+AC19+AC20+AC21+AC22+AC23+AC24</f>
        <v>6171</v>
      </c>
      <c r="AD25" s="355">
        <f>AD19+AD20+AD21+AD22+AD23+AD24</f>
        <v>6975</v>
      </c>
    </row>
    <row r="26" spans="1:30" s="207" customFormat="1" ht="12" customHeight="1">
      <c r="A26" s="189" t="s">
        <v>113</v>
      </c>
      <c r="B26" s="188"/>
      <c r="C26" s="88">
        <f>C18+C25</f>
        <v>32312</v>
      </c>
      <c r="D26" s="203"/>
      <c r="E26" s="88">
        <f>E18+E25</f>
        <v>33120</v>
      </c>
      <c r="F26" s="204"/>
      <c r="G26" s="88">
        <f>G18+G25</f>
        <v>33824</v>
      </c>
      <c r="H26" s="205">
        <f>H18+H25</f>
        <v>35013</v>
      </c>
      <c r="I26" s="205">
        <f>I18+I25</f>
        <v>35066</v>
      </c>
      <c r="J26" s="206">
        <f>J18+J25</f>
        <v>30100</v>
      </c>
      <c r="K26" s="204"/>
      <c r="L26" s="88">
        <f aca="true" t="shared" si="5" ref="L26:R26">L18+L25</f>
        <v>30548</v>
      </c>
      <c r="M26" s="25">
        <f t="shared" si="5"/>
        <v>30728</v>
      </c>
      <c r="N26" s="25">
        <f t="shared" si="5"/>
        <v>31332</v>
      </c>
      <c r="O26" s="25">
        <f t="shared" si="5"/>
        <v>30947</v>
      </c>
      <c r="P26" s="138"/>
      <c r="Q26" s="88">
        <f t="shared" si="5"/>
        <v>31480</v>
      </c>
      <c r="R26" s="25">
        <f t="shared" si="5"/>
        <v>32739</v>
      </c>
      <c r="S26" s="25">
        <f>S18+S25</f>
        <v>33005</v>
      </c>
      <c r="T26" s="25">
        <f>T18+T25</f>
        <v>34250</v>
      </c>
      <c r="U26" s="192"/>
      <c r="V26" s="88">
        <f>V18+V25</f>
        <v>35261</v>
      </c>
      <c r="W26" s="88">
        <f>W18+W25</f>
        <v>36047</v>
      </c>
      <c r="X26" s="88">
        <f>X18+X25</f>
        <v>36788</v>
      </c>
      <c r="Y26" s="88">
        <v>35989</v>
      </c>
      <c r="Z26" s="192"/>
      <c r="AA26" s="88">
        <v>38897</v>
      </c>
      <c r="AB26" s="88">
        <v>38285</v>
      </c>
      <c r="AC26" s="88">
        <f>+AC25+AC18</f>
        <v>38275</v>
      </c>
      <c r="AD26" s="356">
        <f>AD18+AD25</f>
        <v>39342</v>
      </c>
    </row>
    <row r="27" spans="1:30" s="209" customFormat="1" ht="11.25">
      <c r="A27" s="191"/>
      <c r="B27" s="191"/>
      <c r="C27" s="208"/>
      <c r="D27" s="203"/>
      <c r="E27" s="204"/>
      <c r="F27" s="204"/>
      <c r="G27" s="204"/>
      <c r="H27" s="204"/>
      <c r="I27" s="204"/>
      <c r="J27" s="208"/>
      <c r="K27" s="204"/>
      <c r="L27" s="204"/>
      <c r="M27" s="138"/>
      <c r="N27" s="138"/>
      <c r="O27" s="138"/>
      <c r="P27" s="138"/>
      <c r="Q27" s="138"/>
      <c r="R27" s="138"/>
      <c r="S27" s="138"/>
      <c r="T27" s="138"/>
      <c r="V27" s="138"/>
      <c r="W27" s="138"/>
      <c r="X27" s="314"/>
      <c r="Y27" s="314"/>
      <c r="AA27" s="314"/>
      <c r="AB27" s="314"/>
      <c r="AC27" s="314"/>
      <c r="AD27" s="314"/>
    </row>
    <row r="28" spans="1:30" s="192" customFormat="1" ht="12" customHeight="1">
      <c r="A28" s="190" t="s">
        <v>114</v>
      </c>
      <c r="B28" s="188"/>
      <c r="C28" s="210"/>
      <c r="D28" s="211"/>
      <c r="E28" s="212"/>
      <c r="F28" s="204"/>
      <c r="G28" s="212"/>
      <c r="H28" s="212"/>
      <c r="I28" s="212"/>
      <c r="J28" s="210"/>
      <c r="K28" s="204"/>
      <c r="L28" s="212"/>
      <c r="M28" s="90"/>
      <c r="N28" s="90"/>
      <c r="O28" s="90"/>
      <c r="P28" s="139"/>
      <c r="Q28" s="90"/>
      <c r="R28" s="90"/>
      <c r="S28" s="90"/>
      <c r="T28" s="90"/>
      <c r="V28" s="90"/>
      <c r="W28" s="90"/>
      <c r="X28" s="296"/>
      <c r="Y28" s="296"/>
      <c r="AA28" s="296"/>
      <c r="AB28" s="296"/>
      <c r="AC28" s="296"/>
      <c r="AD28" s="296"/>
    </row>
    <row r="29" spans="1:30" s="192" customFormat="1" ht="12" customHeight="1">
      <c r="A29" s="201" t="s">
        <v>115</v>
      </c>
      <c r="B29" s="202"/>
      <c r="C29" s="92">
        <v>2000</v>
      </c>
      <c r="D29" s="198"/>
      <c r="E29" s="92">
        <v>2000</v>
      </c>
      <c r="F29" s="199"/>
      <c r="G29" s="92">
        <v>2000</v>
      </c>
      <c r="H29" s="200">
        <v>2000</v>
      </c>
      <c r="I29" s="200">
        <v>2000</v>
      </c>
      <c r="J29" s="193">
        <v>2000</v>
      </c>
      <c r="K29" s="199"/>
      <c r="L29" s="92">
        <v>2000</v>
      </c>
      <c r="M29" s="30">
        <v>2000</v>
      </c>
      <c r="N29" s="30">
        <v>2000</v>
      </c>
      <c r="O29" s="30">
        <v>2000</v>
      </c>
      <c r="P29" s="139"/>
      <c r="Q29" s="92">
        <v>2000</v>
      </c>
      <c r="R29" s="30">
        <v>2000</v>
      </c>
      <c r="S29" s="30">
        <v>2000</v>
      </c>
      <c r="T29" s="30">
        <v>2000</v>
      </c>
      <c r="V29" s="92">
        <v>2000</v>
      </c>
      <c r="W29" s="92">
        <v>2000</v>
      </c>
      <c r="X29" s="92">
        <v>2000</v>
      </c>
      <c r="Y29" s="92">
        <v>2000</v>
      </c>
      <c r="AA29" s="92">
        <v>2000</v>
      </c>
      <c r="AB29" s="92">
        <v>2000</v>
      </c>
      <c r="AC29" s="92">
        <v>2000</v>
      </c>
      <c r="AD29" s="352">
        <v>2000</v>
      </c>
    </row>
    <row r="30" spans="1:30" s="192" customFormat="1" ht="12" customHeight="1">
      <c r="A30" s="201" t="s">
        <v>116</v>
      </c>
      <c r="B30" s="202"/>
      <c r="C30" s="92">
        <v>366</v>
      </c>
      <c r="D30" s="198"/>
      <c r="E30" s="92">
        <v>-103</v>
      </c>
      <c r="F30" s="199"/>
      <c r="G30" s="92">
        <v>9</v>
      </c>
      <c r="H30" s="200">
        <v>-83</v>
      </c>
      <c r="I30" s="200">
        <v>-88</v>
      </c>
      <c r="J30" s="193">
        <v>-196</v>
      </c>
      <c r="K30" s="199"/>
      <c r="L30" s="92">
        <v>8</v>
      </c>
      <c r="M30" s="30">
        <v>87</v>
      </c>
      <c r="N30" s="30">
        <v>144</v>
      </c>
      <c r="O30" s="30">
        <v>142</v>
      </c>
      <c r="P30" s="139"/>
      <c r="Q30" s="92">
        <v>-439</v>
      </c>
      <c r="R30" s="30">
        <v>-518</v>
      </c>
      <c r="S30" s="30">
        <v>-419</v>
      </c>
      <c r="T30" s="30">
        <v>-307</v>
      </c>
      <c r="V30" s="92">
        <v>-552</v>
      </c>
      <c r="W30" s="92">
        <v>-437</v>
      </c>
      <c r="X30" s="92">
        <v>-730</v>
      </c>
      <c r="Y30" s="92">
        <v>-698</v>
      </c>
      <c r="AA30" s="92">
        <v>-748</v>
      </c>
      <c r="AB30" s="92">
        <v>-860</v>
      </c>
      <c r="AC30" s="92">
        <v>-743</v>
      </c>
      <c r="AD30" s="353">
        <v>-1390</v>
      </c>
    </row>
    <row r="31" spans="1:30" s="192" customFormat="1" ht="12" customHeight="1">
      <c r="A31" s="201" t="s">
        <v>117</v>
      </c>
      <c r="B31" s="202"/>
      <c r="C31" s="92">
        <v>-401</v>
      </c>
      <c r="D31" s="198"/>
      <c r="E31" s="92">
        <v>-342</v>
      </c>
      <c r="F31" s="199"/>
      <c r="G31" s="92">
        <v>-382</v>
      </c>
      <c r="H31" s="200">
        <v>-409</v>
      </c>
      <c r="I31" s="200">
        <v>-323</v>
      </c>
      <c r="J31" s="193">
        <v>-243</v>
      </c>
      <c r="K31" s="199"/>
      <c r="L31" s="92">
        <v>-407</v>
      </c>
      <c r="M31" s="30">
        <v>-386</v>
      </c>
      <c r="N31" s="30">
        <v>-364</v>
      </c>
      <c r="O31" s="30">
        <v>-348</v>
      </c>
      <c r="P31" s="139"/>
      <c r="Q31" s="92">
        <v>-495</v>
      </c>
      <c r="R31" s="30">
        <v>-537</v>
      </c>
      <c r="S31" s="30">
        <v>-499</v>
      </c>
      <c r="T31" s="30">
        <v>-593</v>
      </c>
      <c r="V31" s="92">
        <v>-645</v>
      </c>
      <c r="W31" s="92">
        <v>-713</v>
      </c>
      <c r="X31" s="92">
        <v>-616</v>
      </c>
      <c r="Y31" s="92">
        <v>-622</v>
      </c>
      <c r="AA31" s="92">
        <v>-772</v>
      </c>
      <c r="AB31" s="92">
        <v>-855</v>
      </c>
      <c r="AC31" s="92">
        <v>-887</v>
      </c>
      <c r="AD31" s="354">
        <v>-872</v>
      </c>
    </row>
    <row r="32" spans="1:30" s="192" customFormat="1" ht="12" customHeight="1">
      <c r="A32" s="201" t="s">
        <v>118</v>
      </c>
      <c r="B32" s="202"/>
      <c r="C32" s="92">
        <v>22312</v>
      </c>
      <c r="D32" s="198"/>
      <c r="E32" s="92">
        <v>18724</v>
      </c>
      <c r="F32" s="199"/>
      <c r="G32" s="92">
        <v>19094</v>
      </c>
      <c r="H32" s="200">
        <v>19092</v>
      </c>
      <c r="I32" s="200">
        <v>19706</v>
      </c>
      <c r="J32" s="193">
        <v>14339</v>
      </c>
      <c r="K32" s="199"/>
      <c r="L32" s="92">
        <v>15144</v>
      </c>
      <c r="M32" s="30">
        <v>15449</v>
      </c>
      <c r="N32" s="30">
        <v>15989</v>
      </c>
      <c r="O32" s="30">
        <v>15462</v>
      </c>
      <c r="P32" s="139"/>
      <c r="Q32" s="92">
        <v>16363</v>
      </c>
      <c r="R32" s="30">
        <v>16820</v>
      </c>
      <c r="S32" s="30">
        <v>17263</v>
      </c>
      <c r="T32" s="30">
        <v>17945</v>
      </c>
      <c r="V32" s="92">
        <v>18640</v>
      </c>
      <c r="W32" s="92">
        <v>19172</v>
      </c>
      <c r="X32" s="92">
        <v>19608</v>
      </c>
      <c r="Y32" s="92">
        <v>19209</v>
      </c>
      <c r="AA32" s="92">
        <v>19608</v>
      </c>
      <c r="AB32" s="92">
        <v>19956</v>
      </c>
      <c r="AC32" s="92">
        <v>20365</v>
      </c>
      <c r="AD32" s="352">
        <v>20988</v>
      </c>
    </row>
    <row r="33" spans="1:30" s="192" customFormat="1" ht="12" customHeight="1">
      <c r="A33" s="189" t="s">
        <v>138</v>
      </c>
      <c r="B33" s="188"/>
      <c r="C33" s="88">
        <f>+C29+C30+C31+C32</f>
        <v>24277</v>
      </c>
      <c r="D33" s="203"/>
      <c r="E33" s="88">
        <f>+E29+E30+E31+E32</f>
        <v>20279</v>
      </c>
      <c r="F33" s="204"/>
      <c r="G33" s="88">
        <f>+G29+G30+G31+G32</f>
        <v>20721</v>
      </c>
      <c r="H33" s="205">
        <f>+H29+H30+H31+H32</f>
        <v>20600</v>
      </c>
      <c r="I33" s="205">
        <f>+I29+I30+I31+I32</f>
        <v>21295</v>
      </c>
      <c r="J33" s="206">
        <f>+J29+J30+J31+J32</f>
        <v>15900</v>
      </c>
      <c r="K33" s="204"/>
      <c r="L33" s="88">
        <f aca="true" t="shared" si="6" ref="L33:R33">+L29+L30+L31+L32</f>
        <v>16745</v>
      </c>
      <c r="M33" s="25">
        <f t="shared" si="6"/>
        <v>17150</v>
      </c>
      <c r="N33" s="25">
        <f t="shared" si="6"/>
        <v>17769</v>
      </c>
      <c r="O33" s="25">
        <f t="shared" si="6"/>
        <v>17256</v>
      </c>
      <c r="P33" s="138"/>
      <c r="Q33" s="88">
        <f t="shared" si="6"/>
        <v>17429</v>
      </c>
      <c r="R33" s="25">
        <f t="shared" si="6"/>
        <v>17765</v>
      </c>
      <c r="S33" s="25">
        <f>+S29+S30+S31+S32</f>
        <v>18345</v>
      </c>
      <c r="T33" s="25">
        <f>+T29+T30+T31+T32</f>
        <v>19045</v>
      </c>
      <c r="V33" s="88">
        <f>+V29+V30+V31+V32</f>
        <v>19443</v>
      </c>
      <c r="W33" s="88">
        <f>+W29+W30+W31+W32</f>
        <v>20022</v>
      </c>
      <c r="X33" s="88">
        <f>X29+X30+X31+X32</f>
        <v>20262</v>
      </c>
      <c r="Y33" s="88">
        <v>19889</v>
      </c>
      <c r="AA33" s="88">
        <v>20088</v>
      </c>
      <c r="AB33" s="88">
        <v>20241</v>
      </c>
      <c r="AC33" s="88">
        <f>+AC29+AC30+AC31+AC32</f>
        <v>20735</v>
      </c>
      <c r="AD33" s="356">
        <f>AD29+AD30+AD31+AD32</f>
        <v>20726</v>
      </c>
    </row>
    <row r="34" spans="1:30" s="192" customFormat="1" ht="20.25" customHeight="1">
      <c r="A34" s="196" t="s">
        <v>274</v>
      </c>
      <c r="B34" s="197"/>
      <c r="C34" s="92">
        <v>1052</v>
      </c>
      <c r="D34" s="198"/>
      <c r="E34" s="92">
        <v>4724</v>
      </c>
      <c r="F34" s="199"/>
      <c r="G34" s="92">
        <v>4268</v>
      </c>
      <c r="H34" s="200">
        <v>5678</v>
      </c>
      <c r="I34" s="200">
        <v>6339</v>
      </c>
      <c r="J34" s="193">
        <v>6423</v>
      </c>
      <c r="K34" s="199"/>
      <c r="L34" s="92">
        <v>5480</v>
      </c>
      <c r="M34" s="30">
        <v>5382</v>
      </c>
      <c r="N34" s="30">
        <v>5684</v>
      </c>
      <c r="O34" s="30">
        <v>6085</v>
      </c>
      <c r="P34" s="139"/>
      <c r="Q34" s="92">
        <v>5863</v>
      </c>
      <c r="R34" s="30">
        <v>7343</v>
      </c>
      <c r="S34" s="30">
        <v>7012</v>
      </c>
      <c r="T34" s="30">
        <v>6758</v>
      </c>
      <c r="V34" s="92">
        <v>6637</v>
      </c>
      <c r="W34" s="92">
        <v>7652</v>
      </c>
      <c r="X34" s="92">
        <v>7525</v>
      </c>
      <c r="Y34" s="92">
        <v>7215</v>
      </c>
      <c r="AA34" s="92">
        <v>8845</v>
      </c>
      <c r="AB34" s="92">
        <v>7304</v>
      </c>
      <c r="AC34" s="92">
        <v>6711</v>
      </c>
      <c r="AD34" s="354">
        <v>6525</v>
      </c>
    </row>
    <row r="35" spans="1:30" s="192" customFormat="1" ht="12" customHeight="1">
      <c r="A35" s="196" t="s">
        <v>121</v>
      </c>
      <c r="B35" s="197"/>
      <c r="C35" s="92">
        <v>122</v>
      </c>
      <c r="D35" s="213"/>
      <c r="E35" s="92">
        <v>158</v>
      </c>
      <c r="F35" s="199"/>
      <c r="G35" s="92">
        <v>88</v>
      </c>
      <c r="H35" s="200">
        <v>108</v>
      </c>
      <c r="I35" s="200">
        <v>37</v>
      </c>
      <c r="J35" s="193">
        <v>149</v>
      </c>
      <c r="K35" s="199"/>
      <c r="L35" s="92">
        <v>51</v>
      </c>
      <c r="M35" s="30">
        <v>28</v>
      </c>
      <c r="N35" s="30">
        <v>76</v>
      </c>
      <c r="O35" s="30">
        <v>84</v>
      </c>
      <c r="P35" s="139"/>
      <c r="Q35" s="92">
        <v>80</v>
      </c>
      <c r="R35" s="30">
        <v>97</v>
      </c>
      <c r="S35" s="30">
        <v>82</v>
      </c>
      <c r="T35" s="30">
        <v>68</v>
      </c>
      <c r="V35" s="92">
        <v>84</v>
      </c>
      <c r="W35" s="92">
        <v>52</v>
      </c>
      <c r="X35" s="92">
        <v>324</v>
      </c>
      <c r="Y35" s="92">
        <v>131</v>
      </c>
      <c r="AA35" s="92">
        <v>537</v>
      </c>
      <c r="AB35" s="92">
        <v>532</v>
      </c>
      <c r="AC35" s="92">
        <v>789</v>
      </c>
      <c r="AD35" s="352">
        <v>981</v>
      </c>
    </row>
    <row r="36" spans="1:30" s="192" customFormat="1" ht="12" customHeight="1">
      <c r="A36" s="196" t="s">
        <v>122</v>
      </c>
      <c r="B36" s="197"/>
      <c r="C36" s="92">
        <v>1842</v>
      </c>
      <c r="D36" s="198"/>
      <c r="E36" s="92">
        <v>1803</v>
      </c>
      <c r="F36" s="199"/>
      <c r="G36" s="92">
        <v>1840</v>
      </c>
      <c r="H36" s="200">
        <v>1879</v>
      </c>
      <c r="I36" s="200">
        <v>1818</v>
      </c>
      <c r="J36" s="193">
        <v>1683</v>
      </c>
      <c r="K36" s="199"/>
      <c r="L36" s="92">
        <v>1877</v>
      </c>
      <c r="M36" s="30">
        <v>1884</v>
      </c>
      <c r="N36" s="30">
        <v>1877</v>
      </c>
      <c r="O36" s="30">
        <v>1879</v>
      </c>
      <c r="P36" s="139"/>
      <c r="Q36" s="92">
        <v>2049</v>
      </c>
      <c r="R36" s="30">
        <v>2139</v>
      </c>
      <c r="S36" s="30">
        <v>2125</v>
      </c>
      <c r="T36" s="30">
        <v>2235</v>
      </c>
      <c r="V36" s="92">
        <v>2311</v>
      </c>
      <c r="W36" s="92">
        <v>2425</v>
      </c>
      <c r="X36" s="92">
        <v>2347</v>
      </c>
      <c r="Y36" s="92">
        <v>2363</v>
      </c>
      <c r="AA36" s="92">
        <v>2532</v>
      </c>
      <c r="AB36" s="92">
        <v>2626</v>
      </c>
      <c r="AC36" s="92">
        <v>2732</v>
      </c>
      <c r="AD36" s="353">
        <v>2724</v>
      </c>
    </row>
    <row r="37" spans="1:30" s="192" customFormat="1" ht="24" customHeight="1">
      <c r="A37" s="196" t="s">
        <v>139</v>
      </c>
      <c r="B37" s="197"/>
      <c r="C37" s="92">
        <v>992</v>
      </c>
      <c r="D37" s="198"/>
      <c r="E37" s="92">
        <v>873</v>
      </c>
      <c r="F37" s="199"/>
      <c r="G37" s="92">
        <v>951</v>
      </c>
      <c r="H37" s="200">
        <v>917</v>
      </c>
      <c r="I37" s="200">
        <v>889</v>
      </c>
      <c r="J37" s="193">
        <v>761</v>
      </c>
      <c r="K37" s="199"/>
      <c r="L37" s="92">
        <v>845</v>
      </c>
      <c r="M37" s="30">
        <v>855</v>
      </c>
      <c r="N37" s="30">
        <v>792</v>
      </c>
      <c r="O37" s="30">
        <v>797</v>
      </c>
      <c r="P37" s="139"/>
      <c r="Q37" s="92">
        <v>794</v>
      </c>
      <c r="R37" s="30">
        <v>844</v>
      </c>
      <c r="S37" s="30">
        <v>791</v>
      </c>
      <c r="T37" s="30">
        <v>980</v>
      </c>
      <c r="V37" s="92">
        <v>982</v>
      </c>
      <c r="W37" s="92">
        <v>1099</v>
      </c>
      <c r="X37" s="92">
        <v>1270</v>
      </c>
      <c r="Y37" s="92">
        <v>1119</v>
      </c>
      <c r="AA37" s="92">
        <v>1146</v>
      </c>
      <c r="AB37" s="92">
        <v>1150</v>
      </c>
      <c r="AC37" s="92">
        <v>1154</v>
      </c>
      <c r="AD37" s="354">
        <v>1185</v>
      </c>
    </row>
    <row r="38" spans="1:30" s="192" customFormat="1" ht="13.5" customHeight="1">
      <c r="A38" s="196" t="s">
        <v>124</v>
      </c>
      <c r="B38" s="197"/>
      <c r="C38" s="92">
        <v>0</v>
      </c>
      <c r="D38" s="198"/>
      <c r="E38" s="92">
        <v>0</v>
      </c>
      <c r="F38" s="199"/>
      <c r="G38" s="92">
        <v>0</v>
      </c>
      <c r="H38" s="200">
        <v>0</v>
      </c>
      <c r="I38" s="200">
        <v>0</v>
      </c>
      <c r="J38" s="193">
        <v>0</v>
      </c>
      <c r="K38" s="199"/>
      <c r="L38" s="92">
        <v>0</v>
      </c>
      <c r="M38" s="30">
        <v>0</v>
      </c>
      <c r="N38" s="30">
        <v>0</v>
      </c>
      <c r="O38" s="30">
        <v>0</v>
      </c>
      <c r="P38" s="139"/>
      <c r="Q38" s="92">
        <v>0</v>
      </c>
      <c r="R38" s="30">
        <v>0</v>
      </c>
      <c r="S38" s="30">
        <v>0</v>
      </c>
      <c r="T38" s="30">
        <v>0</v>
      </c>
      <c r="V38" s="92">
        <v>0</v>
      </c>
      <c r="W38" s="92">
        <v>11</v>
      </c>
      <c r="X38" s="92">
        <v>0</v>
      </c>
      <c r="Y38" s="92">
        <v>60</v>
      </c>
      <c r="AA38" s="92">
        <v>0</v>
      </c>
      <c r="AB38" s="92">
        <v>27</v>
      </c>
      <c r="AC38" s="92">
        <v>141</v>
      </c>
      <c r="AD38" s="354">
        <v>81</v>
      </c>
    </row>
    <row r="39" spans="1:30" s="192" customFormat="1" ht="12" customHeight="1">
      <c r="A39" s="196" t="s">
        <v>125</v>
      </c>
      <c r="B39" s="197"/>
      <c r="C39" s="92">
        <v>187</v>
      </c>
      <c r="D39" s="198"/>
      <c r="E39" s="92">
        <v>198</v>
      </c>
      <c r="F39" s="199"/>
      <c r="G39" s="92">
        <v>192</v>
      </c>
      <c r="H39" s="200">
        <v>191</v>
      </c>
      <c r="I39" s="200">
        <v>208</v>
      </c>
      <c r="J39" s="193">
        <v>229</v>
      </c>
      <c r="K39" s="199"/>
      <c r="L39" s="92">
        <v>219</v>
      </c>
      <c r="M39" s="30">
        <v>209</v>
      </c>
      <c r="N39" s="30">
        <v>209</v>
      </c>
      <c r="O39" s="30">
        <v>207</v>
      </c>
      <c r="P39" s="139"/>
      <c r="Q39" s="92">
        <v>211</v>
      </c>
      <c r="R39" s="30">
        <v>196</v>
      </c>
      <c r="S39" s="30">
        <v>202</v>
      </c>
      <c r="T39" s="30">
        <v>199</v>
      </c>
      <c r="V39" s="92">
        <v>193</v>
      </c>
      <c r="W39" s="92">
        <f>190</f>
        <v>190</v>
      </c>
      <c r="X39" s="92">
        <v>191</v>
      </c>
      <c r="Y39" s="92">
        <v>217</v>
      </c>
      <c r="AA39" s="92">
        <v>195</v>
      </c>
      <c r="AB39" s="92">
        <v>221</v>
      </c>
      <c r="AC39" s="92">
        <v>212</v>
      </c>
      <c r="AD39" s="352">
        <v>191</v>
      </c>
    </row>
    <row r="40" spans="1:30" s="192" customFormat="1" ht="12" customHeight="1">
      <c r="A40" s="201" t="s">
        <v>126</v>
      </c>
      <c r="B40" s="202"/>
      <c r="C40" s="92">
        <f>+C34+C35+C36+C37+C39</f>
        <v>4195</v>
      </c>
      <c r="D40" s="198"/>
      <c r="E40" s="92">
        <f>+E34+E35+E36+E37+E39</f>
        <v>7756</v>
      </c>
      <c r="F40" s="199"/>
      <c r="G40" s="92">
        <f>+G34+G35+G36+G37+G39</f>
        <v>7339</v>
      </c>
      <c r="H40" s="200">
        <f>+H34+H35+H36+H37+H39</f>
        <v>8773</v>
      </c>
      <c r="I40" s="200">
        <f>+I34+I35+I36+I37+I39</f>
        <v>9291</v>
      </c>
      <c r="J40" s="193">
        <f>+J34+J35+J36+J37+J39</f>
        <v>9245</v>
      </c>
      <c r="K40" s="199"/>
      <c r="L40" s="92">
        <f>+L34+L35+L36+L37+L39</f>
        <v>8472</v>
      </c>
      <c r="M40" s="30">
        <f>+M34+M35+M36+M37+M39</f>
        <v>8358</v>
      </c>
      <c r="N40" s="30">
        <v>8638</v>
      </c>
      <c r="O40" s="30">
        <f>SUM(O34:O39)</f>
        <v>9052</v>
      </c>
      <c r="P40" s="139"/>
      <c r="Q40" s="92">
        <f>+Q34+Q35+Q36+Q37+Q39</f>
        <v>8997</v>
      </c>
      <c r="R40" s="30">
        <f>+R34+R35+R36+R37+R39</f>
        <v>10619</v>
      </c>
      <c r="S40" s="30">
        <f>+S34+S35+S36+S37+S39</f>
        <v>10212</v>
      </c>
      <c r="T40" s="30">
        <f>+T34+T35+T36+T37+T39</f>
        <v>10240</v>
      </c>
      <c r="V40" s="92">
        <f>+V34+V35+V36+V37+V39</f>
        <v>10207</v>
      </c>
      <c r="W40" s="92">
        <f>+W34+W35+W36+W37+W39+W38</f>
        <v>11429</v>
      </c>
      <c r="X40" s="92">
        <f>X34+X35+X36+X37+X38+X39</f>
        <v>11657</v>
      </c>
      <c r="Y40" s="92">
        <v>11105</v>
      </c>
      <c r="AA40" s="92">
        <v>13255</v>
      </c>
      <c r="AB40" s="92">
        <v>11860</v>
      </c>
      <c r="AC40" s="92">
        <f>+AC34+AC35+AC36+AC37+AC38+AC39</f>
        <v>11739</v>
      </c>
      <c r="AD40" s="353">
        <f>AD34+AD35+AD36+AD37+AD38+AD39</f>
        <v>11687</v>
      </c>
    </row>
    <row r="41" spans="1:30" s="192" customFormat="1" ht="24" customHeight="1">
      <c r="A41" s="196" t="s">
        <v>274</v>
      </c>
      <c r="B41" s="197"/>
      <c r="C41" s="92">
        <v>1056</v>
      </c>
      <c r="D41" s="198"/>
      <c r="E41" s="92">
        <v>2098</v>
      </c>
      <c r="F41" s="199"/>
      <c r="G41" s="92">
        <v>2962</v>
      </c>
      <c r="H41" s="200">
        <v>2250</v>
      </c>
      <c r="I41" s="200">
        <v>1419</v>
      </c>
      <c r="J41" s="193">
        <v>1509</v>
      </c>
      <c r="K41" s="199"/>
      <c r="L41" s="92">
        <v>2041</v>
      </c>
      <c r="M41" s="30">
        <v>1601</v>
      </c>
      <c r="N41" s="30">
        <v>1398</v>
      </c>
      <c r="O41" s="30">
        <v>923</v>
      </c>
      <c r="P41" s="139"/>
      <c r="Q41" s="92">
        <v>1627</v>
      </c>
      <c r="R41" s="30">
        <v>1112</v>
      </c>
      <c r="S41" s="30">
        <v>1053</v>
      </c>
      <c r="T41" s="30">
        <v>1035</v>
      </c>
      <c r="V41" s="92">
        <v>1740</v>
      </c>
      <c r="W41" s="92">
        <v>996</v>
      </c>
      <c r="X41" s="92">
        <v>1290</v>
      </c>
      <c r="Y41" s="92">
        <v>275</v>
      </c>
      <c r="AA41" s="92">
        <v>311</v>
      </c>
      <c r="AB41" s="92">
        <v>1104</v>
      </c>
      <c r="AC41" s="92">
        <v>317</v>
      </c>
      <c r="AD41" s="354">
        <v>306</v>
      </c>
    </row>
    <row r="42" spans="1:30" s="192" customFormat="1" ht="12" customHeight="1">
      <c r="A42" s="196" t="s">
        <v>140</v>
      </c>
      <c r="B42" s="197"/>
      <c r="C42" s="92">
        <v>0</v>
      </c>
      <c r="D42" s="198"/>
      <c r="E42" s="92">
        <v>0</v>
      </c>
      <c r="F42" s="199"/>
      <c r="G42" s="92">
        <v>0</v>
      </c>
      <c r="H42" s="200">
        <v>0</v>
      </c>
      <c r="I42" s="200">
        <v>0</v>
      </c>
      <c r="J42" s="193">
        <v>0</v>
      </c>
      <c r="K42" s="199"/>
      <c r="L42" s="92">
        <v>0</v>
      </c>
      <c r="M42" s="30">
        <v>227</v>
      </c>
      <c r="N42" s="30">
        <v>160</v>
      </c>
      <c r="O42" s="30">
        <v>160</v>
      </c>
      <c r="P42" s="139"/>
      <c r="Q42" s="92">
        <v>220</v>
      </c>
      <c r="R42" s="30">
        <v>120</v>
      </c>
      <c r="S42" s="30">
        <v>110</v>
      </c>
      <c r="T42" s="30">
        <v>80</v>
      </c>
      <c r="V42" s="92">
        <v>135</v>
      </c>
      <c r="W42" s="92">
        <v>50</v>
      </c>
      <c r="X42" s="92">
        <v>80</v>
      </c>
      <c r="Y42" s="92">
        <v>130</v>
      </c>
      <c r="AA42" s="92">
        <v>80</v>
      </c>
      <c r="AB42" s="92">
        <v>180</v>
      </c>
      <c r="AC42" s="92">
        <v>230</v>
      </c>
      <c r="AD42" s="352">
        <v>284</v>
      </c>
    </row>
    <row r="43" spans="1:30" s="192" customFormat="1" ht="12" customHeight="1">
      <c r="A43" s="196" t="s">
        <v>121</v>
      </c>
      <c r="B43" s="197"/>
      <c r="C43" s="92">
        <v>36</v>
      </c>
      <c r="D43" s="198"/>
      <c r="E43" s="92">
        <v>48</v>
      </c>
      <c r="F43" s="199"/>
      <c r="G43" s="92">
        <v>25</v>
      </c>
      <c r="H43" s="200">
        <v>75</v>
      </c>
      <c r="I43" s="200">
        <v>39</v>
      </c>
      <c r="J43" s="193">
        <v>189</v>
      </c>
      <c r="K43" s="199"/>
      <c r="L43" s="92">
        <v>46</v>
      </c>
      <c r="M43" s="30">
        <v>9</v>
      </c>
      <c r="N43" s="30">
        <v>20</v>
      </c>
      <c r="O43" s="30">
        <v>74</v>
      </c>
      <c r="P43" s="139"/>
      <c r="Q43" s="92">
        <v>36</v>
      </c>
      <c r="R43" s="30">
        <v>16</v>
      </c>
      <c r="S43" s="30">
        <v>11</v>
      </c>
      <c r="T43" s="30">
        <v>13</v>
      </c>
      <c r="V43" s="92">
        <v>19</v>
      </c>
      <c r="W43" s="92">
        <v>14</v>
      </c>
      <c r="X43" s="92">
        <v>29</v>
      </c>
      <c r="Y43" s="92">
        <v>60</v>
      </c>
      <c r="AA43" s="92">
        <v>315</v>
      </c>
      <c r="AB43" s="92">
        <v>179</v>
      </c>
      <c r="AC43" s="92">
        <v>226</v>
      </c>
      <c r="AD43" s="353">
        <v>653</v>
      </c>
    </row>
    <row r="44" spans="1:30" s="192" customFormat="1" ht="12" customHeight="1">
      <c r="A44" s="196" t="s">
        <v>292</v>
      </c>
      <c r="B44" s="197"/>
      <c r="C44" s="92">
        <v>1109</v>
      </c>
      <c r="D44" s="198"/>
      <c r="E44" s="92">
        <v>1318</v>
      </c>
      <c r="F44" s="199"/>
      <c r="G44" s="92">
        <v>1192</v>
      </c>
      <c r="H44" s="200">
        <v>1151</v>
      </c>
      <c r="I44" s="200">
        <v>1271</v>
      </c>
      <c r="J44" s="193">
        <v>1372</v>
      </c>
      <c r="K44" s="199"/>
      <c r="L44" s="92">
        <v>1298</v>
      </c>
      <c r="M44" s="30">
        <v>1506</v>
      </c>
      <c r="N44" s="30">
        <v>1446</v>
      </c>
      <c r="O44" s="30">
        <v>1719</v>
      </c>
      <c r="P44" s="139"/>
      <c r="Q44" s="92">
        <v>1321</v>
      </c>
      <c r="R44" s="30">
        <v>1145</v>
      </c>
      <c r="S44" s="30">
        <v>1452</v>
      </c>
      <c r="T44" s="30">
        <v>1920</v>
      </c>
      <c r="V44" s="92">
        <v>1631</v>
      </c>
      <c r="W44" s="92">
        <v>1610</v>
      </c>
      <c r="X44" s="92">
        <v>1439</v>
      </c>
      <c r="Y44" s="92">
        <v>2460</v>
      </c>
      <c r="AA44" s="92">
        <v>2572</v>
      </c>
      <c r="AB44" s="92">
        <v>2640</v>
      </c>
      <c r="AC44" s="92">
        <v>2811</v>
      </c>
      <c r="AD44" s="354">
        <v>3334</v>
      </c>
    </row>
    <row r="45" spans="1:30" s="192" customFormat="1" ht="12" customHeight="1">
      <c r="A45" s="196" t="s">
        <v>122</v>
      </c>
      <c r="B45" s="197"/>
      <c r="C45" s="92">
        <v>584</v>
      </c>
      <c r="D45" s="198"/>
      <c r="E45" s="92">
        <v>577</v>
      </c>
      <c r="F45" s="199"/>
      <c r="G45" s="92">
        <v>640</v>
      </c>
      <c r="H45" s="200">
        <v>769</v>
      </c>
      <c r="I45" s="200">
        <v>588</v>
      </c>
      <c r="J45" s="193">
        <v>628</v>
      </c>
      <c r="K45" s="199"/>
      <c r="L45" s="92">
        <v>736</v>
      </c>
      <c r="M45" s="30">
        <v>560</v>
      </c>
      <c r="N45" s="30">
        <v>655</v>
      </c>
      <c r="O45" s="30">
        <v>649</v>
      </c>
      <c r="P45" s="139"/>
      <c r="Q45" s="92">
        <v>759</v>
      </c>
      <c r="R45" s="30">
        <v>614</v>
      </c>
      <c r="S45" s="30">
        <v>709</v>
      </c>
      <c r="T45" s="30">
        <v>611</v>
      </c>
      <c r="V45" s="92">
        <v>696</v>
      </c>
      <c r="W45" s="92">
        <v>770</v>
      </c>
      <c r="X45" s="92">
        <v>841</v>
      </c>
      <c r="Y45" s="92">
        <v>890</v>
      </c>
      <c r="AA45" s="92">
        <v>956</v>
      </c>
      <c r="AB45" s="92">
        <v>905</v>
      </c>
      <c r="AC45" s="92">
        <v>917</v>
      </c>
      <c r="AD45" s="352">
        <v>1042</v>
      </c>
    </row>
    <row r="46" spans="1:30" s="192" customFormat="1" ht="12" customHeight="1">
      <c r="A46" s="196" t="s">
        <v>131</v>
      </c>
      <c r="B46" s="197"/>
      <c r="C46" s="92">
        <v>522</v>
      </c>
      <c r="D46" s="198"/>
      <c r="E46" s="92">
        <v>450</v>
      </c>
      <c r="F46" s="199"/>
      <c r="G46" s="92">
        <v>341</v>
      </c>
      <c r="H46" s="200">
        <v>542</v>
      </c>
      <c r="I46" s="200">
        <v>418</v>
      </c>
      <c r="J46" s="193">
        <v>636</v>
      </c>
      <c r="K46" s="199"/>
      <c r="L46" s="92">
        <v>452</v>
      </c>
      <c r="M46" s="30">
        <v>473</v>
      </c>
      <c r="N46" s="30">
        <v>331</v>
      </c>
      <c r="O46" s="30">
        <v>416</v>
      </c>
      <c r="P46" s="139"/>
      <c r="Q46" s="92">
        <v>428</v>
      </c>
      <c r="R46" s="30">
        <v>593</v>
      </c>
      <c r="S46" s="30">
        <v>377</v>
      </c>
      <c r="T46" s="30">
        <v>405</v>
      </c>
      <c r="V46" s="92">
        <v>516</v>
      </c>
      <c r="W46" s="92">
        <v>360</v>
      </c>
      <c r="X46" s="92">
        <v>424</v>
      </c>
      <c r="Y46" s="92">
        <v>258</v>
      </c>
      <c r="AA46" s="92">
        <v>279</v>
      </c>
      <c r="AB46" s="92">
        <v>263</v>
      </c>
      <c r="AC46" s="92">
        <v>378</v>
      </c>
      <c r="AD46" s="353">
        <v>369</v>
      </c>
    </row>
    <row r="47" spans="1:30" s="192" customFormat="1" ht="12" customHeight="1">
      <c r="A47" s="196" t="s">
        <v>125</v>
      </c>
      <c r="B47" s="197"/>
      <c r="C47" s="92">
        <v>533</v>
      </c>
      <c r="D47" s="198"/>
      <c r="E47" s="92">
        <v>594</v>
      </c>
      <c r="F47" s="199"/>
      <c r="G47" s="92">
        <v>604</v>
      </c>
      <c r="H47" s="200">
        <v>853</v>
      </c>
      <c r="I47" s="200">
        <v>745</v>
      </c>
      <c r="J47" s="193">
        <v>621</v>
      </c>
      <c r="K47" s="199"/>
      <c r="L47" s="92">
        <v>758</v>
      </c>
      <c r="M47" s="30">
        <v>844</v>
      </c>
      <c r="N47" s="30">
        <v>915</v>
      </c>
      <c r="O47" s="30">
        <v>698</v>
      </c>
      <c r="P47" s="139"/>
      <c r="Q47" s="92">
        <v>663</v>
      </c>
      <c r="R47" s="30">
        <v>755</v>
      </c>
      <c r="S47" s="30">
        <f>201+535</f>
        <v>736</v>
      </c>
      <c r="T47" s="30">
        <v>901</v>
      </c>
      <c r="V47" s="92">
        <v>874</v>
      </c>
      <c r="W47" s="92">
        <f>87+709</f>
        <v>796</v>
      </c>
      <c r="X47" s="92">
        <f>82+684</f>
        <v>766</v>
      </c>
      <c r="Y47" s="92">
        <v>922</v>
      </c>
      <c r="AA47" s="92">
        <v>1041</v>
      </c>
      <c r="AB47" s="92">
        <f>123+790</f>
        <v>913</v>
      </c>
      <c r="AC47" s="92">
        <v>922</v>
      </c>
      <c r="AD47" s="354">
        <f>77+864</f>
        <v>941</v>
      </c>
    </row>
    <row r="48" spans="1:30" s="192" customFormat="1" ht="12" customHeight="1">
      <c r="A48" s="201" t="s">
        <v>128</v>
      </c>
      <c r="B48" s="202"/>
      <c r="C48" s="92">
        <f>+C41+C43+C44+C45+C46+C47</f>
        <v>3840</v>
      </c>
      <c r="D48" s="198"/>
      <c r="E48" s="92">
        <f>+E41+E43+E44+E45+E46+E47</f>
        <v>5085</v>
      </c>
      <c r="F48" s="199"/>
      <c r="G48" s="92">
        <f>+G41+G43+G44+G45+G46+G47</f>
        <v>5764</v>
      </c>
      <c r="H48" s="200">
        <f>+H41+H43+H44+H45+H46+H47</f>
        <v>5640</v>
      </c>
      <c r="I48" s="200">
        <f>+I41+I43+I44+I45+I46+I47</f>
        <v>4480</v>
      </c>
      <c r="J48" s="193">
        <f>+J41+J43+J44+J45+J46+J47</f>
        <v>4955</v>
      </c>
      <c r="K48" s="199"/>
      <c r="L48" s="92">
        <f>+L41+L43+L44+L45+L46+L47</f>
        <v>5331</v>
      </c>
      <c r="M48" s="30">
        <f>+M41+M42+M43+M44+M45+M46+M47</f>
        <v>5220</v>
      </c>
      <c r="N48" s="30">
        <f>+N41+N42+N43+N44+N45+N46+N47</f>
        <v>4925</v>
      </c>
      <c r="O48" s="30">
        <f>+O41+O42+O43+O44+O45+O46+O47</f>
        <v>4639</v>
      </c>
      <c r="P48" s="139"/>
      <c r="Q48" s="92">
        <f>+Q41+Q43+Q44+Q45+Q46+Q47+Q42</f>
        <v>5054</v>
      </c>
      <c r="R48" s="30">
        <f>+R41+R43+R44+R45+R46+R47+R42</f>
        <v>4355</v>
      </c>
      <c r="S48" s="30">
        <f>+S41+S43+S44+S45+S46+S47+S42</f>
        <v>4448</v>
      </c>
      <c r="T48" s="30">
        <f>+T41+T43+T44+T45+T46+T47+T42</f>
        <v>4965</v>
      </c>
      <c r="V48" s="92">
        <f>+V41+V43+V44+V45+V46+V47+V42</f>
        <v>5611</v>
      </c>
      <c r="W48" s="92">
        <f>+W41+W43+W44+W45+W46+W47+W42</f>
        <v>4596</v>
      </c>
      <c r="X48" s="92">
        <f>X41+X42+X43+X44+X45+X46+X47</f>
        <v>4869</v>
      </c>
      <c r="Y48" s="92">
        <v>4995</v>
      </c>
      <c r="AA48" s="92">
        <v>5554</v>
      </c>
      <c r="AB48" s="92">
        <v>6184</v>
      </c>
      <c r="AC48" s="92">
        <f>+AC41+AC42+AC43+AC44+AC45+AC46+AC47</f>
        <v>5801</v>
      </c>
      <c r="AD48" s="352">
        <f>AD41+AD42+AD43+AD44+AD45+AD46+AD47</f>
        <v>6929</v>
      </c>
    </row>
    <row r="49" spans="1:30" s="192" customFormat="1" ht="12" customHeight="1">
      <c r="A49" s="189" t="s">
        <v>141</v>
      </c>
      <c r="B49" s="188"/>
      <c r="C49" s="88">
        <f>C48+C40</f>
        <v>8035</v>
      </c>
      <c r="D49" s="203"/>
      <c r="E49" s="88">
        <f>E48+E40</f>
        <v>12841</v>
      </c>
      <c r="F49" s="204"/>
      <c r="G49" s="88">
        <f>G48+G40</f>
        <v>13103</v>
      </c>
      <c r="H49" s="205">
        <f>H48+H40</f>
        <v>14413</v>
      </c>
      <c r="I49" s="205">
        <f>I48+I40</f>
        <v>13771</v>
      </c>
      <c r="J49" s="206">
        <f>J48+J40</f>
        <v>14200</v>
      </c>
      <c r="K49" s="204"/>
      <c r="L49" s="88">
        <f aca="true" t="shared" si="7" ref="L49:R49">L48+L40</f>
        <v>13803</v>
      </c>
      <c r="M49" s="25">
        <f t="shared" si="7"/>
        <v>13578</v>
      </c>
      <c r="N49" s="25">
        <f t="shared" si="7"/>
        <v>13563</v>
      </c>
      <c r="O49" s="25">
        <f t="shared" si="7"/>
        <v>13691</v>
      </c>
      <c r="P49" s="138"/>
      <c r="Q49" s="88">
        <f t="shared" si="7"/>
        <v>14051</v>
      </c>
      <c r="R49" s="25">
        <f t="shared" si="7"/>
        <v>14974</v>
      </c>
      <c r="S49" s="25">
        <f>S48+S40</f>
        <v>14660</v>
      </c>
      <c r="T49" s="25">
        <f>T48+T40</f>
        <v>15205</v>
      </c>
      <c r="V49" s="88">
        <f>V48+V40</f>
        <v>15818</v>
      </c>
      <c r="W49" s="88">
        <f>W48+W40</f>
        <v>16025</v>
      </c>
      <c r="X49" s="88">
        <f>X40+X48</f>
        <v>16526</v>
      </c>
      <c r="Y49" s="88">
        <v>16100</v>
      </c>
      <c r="AA49" s="88">
        <v>18809</v>
      </c>
      <c r="AB49" s="88">
        <v>18044</v>
      </c>
      <c r="AC49" s="88">
        <f>+AC40+AC48</f>
        <v>17540</v>
      </c>
      <c r="AD49" s="356">
        <f>AD40+AD48</f>
        <v>18616</v>
      </c>
    </row>
    <row r="50" spans="1:30" s="192" customFormat="1" ht="12" customHeight="1">
      <c r="A50" s="189" t="s">
        <v>130</v>
      </c>
      <c r="B50" s="188"/>
      <c r="C50" s="88">
        <f>C49+C33</f>
        <v>32312</v>
      </c>
      <c r="D50" s="203"/>
      <c r="E50" s="88">
        <f>E49+E33</f>
        <v>33120</v>
      </c>
      <c r="F50" s="204"/>
      <c r="G50" s="88">
        <f>G49+G33</f>
        <v>33824</v>
      </c>
      <c r="H50" s="205">
        <f>H49+H33</f>
        <v>35013</v>
      </c>
      <c r="I50" s="205">
        <f>I49+I33</f>
        <v>35066</v>
      </c>
      <c r="J50" s="206">
        <f>J49+J33</f>
        <v>30100</v>
      </c>
      <c r="K50" s="204"/>
      <c r="L50" s="88">
        <f aca="true" t="shared" si="8" ref="L50:R50">L49+L33</f>
        <v>30548</v>
      </c>
      <c r="M50" s="25">
        <f t="shared" si="8"/>
        <v>30728</v>
      </c>
      <c r="N50" s="25">
        <f t="shared" si="8"/>
        <v>31332</v>
      </c>
      <c r="O50" s="25">
        <f t="shared" si="8"/>
        <v>30947</v>
      </c>
      <c r="P50" s="138"/>
      <c r="Q50" s="88">
        <f t="shared" si="8"/>
        <v>31480</v>
      </c>
      <c r="R50" s="25">
        <f t="shared" si="8"/>
        <v>32739</v>
      </c>
      <c r="S50" s="25">
        <f>S49+S33</f>
        <v>33005</v>
      </c>
      <c r="T50" s="25">
        <f>T49+T33</f>
        <v>34250</v>
      </c>
      <c r="V50" s="88">
        <f>V49+V33</f>
        <v>35261</v>
      </c>
      <c r="W50" s="88">
        <f>W49+W33</f>
        <v>36047</v>
      </c>
      <c r="X50" s="88">
        <f>X33+X49</f>
        <v>36788</v>
      </c>
      <c r="Y50" s="88">
        <v>35989</v>
      </c>
      <c r="AA50" s="88">
        <v>38897</v>
      </c>
      <c r="AB50" s="88">
        <v>38285</v>
      </c>
      <c r="AC50" s="88">
        <f>+AC33+AC49</f>
        <v>38275</v>
      </c>
      <c r="AD50" s="357">
        <f>AD33+AD49</f>
        <v>39342</v>
      </c>
    </row>
    <row r="51" spans="3:11" ht="12" customHeight="1">
      <c r="C51" s="78"/>
      <c r="D51" s="214"/>
      <c r="E51" s="214"/>
      <c r="F51" s="214"/>
      <c r="G51" s="214"/>
      <c r="H51" s="214"/>
      <c r="I51" s="214"/>
      <c r="J51" s="78"/>
      <c r="K51" s="214"/>
    </row>
    <row r="52" spans="3:11" ht="11.25">
      <c r="C52" s="78"/>
      <c r="E52" s="78"/>
      <c r="F52" s="78"/>
      <c r="G52" s="78"/>
      <c r="H52" s="78"/>
      <c r="I52" s="78"/>
      <c r="J52" s="78"/>
      <c r="K52" s="78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e.szkarupska</dc:creator>
  <cp:keywords/>
  <dc:description/>
  <cp:lastModifiedBy>Aleksandra Wojnowska</cp:lastModifiedBy>
  <cp:lastPrinted>2021-03-23T09:33:41Z</cp:lastPrinted>
  <dcterms:created xsi:type="dcterms:W3CDTF">2005-09-12T06:47:42Z</dcterms:created>
  <dcterms:modified xsi:type="dcterms:W3CDTF">2021-03-25T08:14:20Z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KGHM_dane_finansowe_Grupa_Kapitalowa_i_Spolka_1Q2020.xls</vt:lpwstr>
  </property>
</Properties>
</file>